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ento_zošit" defaultThemeVersion="124226"/>
  <mc:AlternateContent xmlns:mc="http://schemas.openxmlformats.org/markup-compatibility/2006">
    <mc:Choice Requires="x15">
      <x15ac:absPath xmlns:x15ac="http://schemas.microsoft.com/office/spreadsheetml/2010/11/ac" url="C:\Users\SRZ\Desktop\"/>
    </mc:Choice>
  </mc:AlternateContent>
  <xr:revisionPtr revIDLastSave="0" documentId="13_ncr:1_{A6FCDA64-BFEA-43B0-BE6A-D53E9CF52117}" xr6:coauthVersionLast="47" xr6:coauthVersionMax="47" xr10:uidLastSave="{00000000-0000-0000-0000-000000000000}"/>
  <bookViews>
    <workbookView xWindow="-108" yWindow="-108" windowWidth="23256" windowHeight="12576"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M121" i="9" s="1"/>
  <c r="E121" i="9"/>
  <c r="K16" i="4"/>
  <c r="J16" i="4" s="1"/>
  <c r="M17" i="4"/>
  <c r="K46" i="4"/>
  <c r="M47" i="4"/>
  <c r="L85" i="9"/>
  <c r="C85" i="9"/>
  <c r="K78" i="4"/>
  <c r="K48" i="4"/>
  <c r="M49" i="4"/>
  <c r="K22" i="4"/>
  <c r="J22" i="4" s="1"/>
  <c r="M75" i="4"/>
  <c r="C63" i="9"/>
  <c r="L63" i="9"/>
  <c r="C65" i="9"/>
  <c r="L65" i="9"/>
  <c r="C13" i="6"/>
  <c r="C10" i="6"/>
  <c r="K40" i="9"/>
  <c r="L41" i="9"/>
  <c r="L43" i="9"/>
  <c r="L46" i="9" s="1"/>
  <c r="K45" i="9"/>
  <c r="B43" i="9" s="1"/>
  <c r="M13" i="4"/>
  <c r="K12" i="4"/>
  <c r="J12" i="4" s="1"/>
  <c r="L95" i="9" l="1"/>
  <c r="M95" i="9" s="1"/>
  <c r="E95" i="9"/>
  <c r="D95" i="9"/>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J95" i="9"/>
  <c r="B38" i="9"/>
  <c r="I39" i="9"/>
  <c r="H39" i="9"/>
  <c r="H40" i="9"/>
  <c r="R41" i="9"/>
  <c r="T41" i="9"/>
  <c r="L42" i="9"/>
  <c r="C40" i="9" s="1"/>
  <c r="L11" i="9"/>
  <c r="P41" i="9"/>
  <c r="N41" i="9"/>
  <c r="J40" i="9"/>
  <c r="H44" i="9"/>
  <c r="H45" i="9"/>
  <c r="I44" i="9"/>
  <c r="R46" i="9"/>
  <c r="L47" i="9"/>
  <c r="C45" i="9" s="1"/>
  <c r="N46" i="9"/>
  <c r="T46" i="9"/>
  <c r="L13" i="9"/>
  <c r="P46" i="9"/>
  <c r="J68" i="9" l="1"/>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78" i="9"/>
  <c r="I78"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J92" i="9" l="1"/>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<sst xmlns="http://schemas.openxmlformats.org/spreadsheetml/2006/main" count="3905" uniqueCount="1799">
  <si>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</si>
  <si>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</si>
  <si>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</si>
  <si>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</si>
  <si>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</si>
  <si>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</si>
  <si>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</si>
  <si>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</si>
  <si>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</si>
  <si>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</si>
  <si>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</si>
  <si>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</si>
  <si>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</si>
  <si>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</si>
  <si>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</si>
  <si>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</si>
  <si>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</si>
  <si>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</si>
  <si>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</si>
  <si>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</si>
  <si>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</si>
  <si>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</si>
  <si>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</si>
  <si>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</si>
  <si>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</si>
  <si>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</si>
  <si>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</si>
  <si>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</si>
  <si>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</si>
  <si>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</si>
  <si>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</si>
  <si>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</si>
  <si>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</si>
  <si>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</si>
  <si>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</si>
  <si>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</si>
  <si>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</si>
  <si>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</si>
  <si>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</si>
  <si>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</si>
  <si>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</si>
  <si>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</si>
  <si>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</si>
  <si>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</si>
  <si>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</si>
  <si>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</si>
  <si>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</si>
  <si>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</si>
  <si>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</si>
  <si>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</si>
  <si>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</si>
  <si>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</si>
  <si>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</si>
  <si>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</si>
  <si>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</si>
  <si>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</si>
  <si>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</si>
  <si>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</si>
  <si>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</si>
  <si>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</si>
  <si>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</si>
  <si>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</si>
  <si>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</si>
  <si>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</si>
  <si>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</si>
  <si>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</si>
  <si>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</si>
  <si>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</si>
  <si>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</si>
  <si>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</si>
  <si>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</si>
  <si>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</si>
  <si>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</si>
  <si>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</si>
  <si>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</si>
  <si>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</si>
  <si>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</si>
  <si>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</si>
  <si>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</si>
  <si>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</si>
  <si>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</si>
  <si>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</si>
  <si>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</si>
  <si>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</si>
  <si>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</si>
  <si>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</si>
  <si>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</si>
  <si>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</si>
  <si>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</si>
  <si>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</si>
  <si>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</si>
  <si>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</si>
  <si>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</si>
  <si>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</si>
  <si>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</si>
  <si>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</si>
  <si>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</si>
  <si>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</si>
  <si>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</si>
  <si>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</si>
  <si>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</si>
  <si>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</si>
  <si>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</si>
  <si>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</si>
  <si>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</si>
  <si>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</si>
  <si>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</si>
  <si>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</si>
  <si>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</si>
  <si>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</si>
  <si>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</si>
  <si>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</si>
  <si>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</si>
  <si>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</si>
  <si>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</si>
  <si>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</si>
  <si>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</si>
  <si>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</si>
  <si>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</si>
  <si>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</si>
  <si>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</si>
  <si>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</si>
  <si>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</si>
  <si>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</si>
  <si>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</si>
  <si>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</si>
  <si>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</si>
  <si>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</si>
  <si>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</si>
  <si>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</si>
  <si>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</si>
  <si>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</si>
  <si>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</si>
  <si>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</si>
  <si>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</si>
  <si>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</si>
  <si>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</si>
  <si>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</si>
  <si>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</si>
  <si>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</si>
  <si>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</si>
  <si>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</si>
  <si>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</si>
  <si>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</si>
  <si>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</si>
  <si>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</si>
  <si>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</si>
  <si>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</si>
  <si>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</si>
  <si>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</si>
  <si>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</si>
  <si>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</si>
  <si>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</si>
  <si>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</si>
  <si>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</si>
  <si>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</si>
  <si>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</si>
  <si>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</si>
  <si>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</si>
  <si>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</si>
  <si>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</si>
  <si>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</si>
  <si>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</si>
  <si>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</si>
  <si>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</si>
  <si>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</si>
  <si>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</si>
  <si>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</si>
  <si>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</si>
  <si>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</si>
  <si>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</si>
  <si>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</si>
  <si>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</si>
  <si>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</si>
  <si>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</si>
  <si>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</si>
  <si>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</si>
  <si>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</si>
  <si>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</si>
  <si>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</si>
  <si>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</si>
  <si>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</si>
  <si>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</si>
  <si>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</si>
  <si>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</si>
  <si>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</si>
  <si>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</si>
  <si>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</si>
  <si>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</si>
  <si>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</si>
  <si>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</si>
  <si>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</si>
  <si>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</si>
  <si>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</si>
  <si>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</si>
  <si>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</si>
  <si>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</si>
  <si>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</si>
  <si>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</si>
  <si>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</si>
  <si>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</si>
  <si>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</si>
  <si>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</si>
  <si>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</si>
  <si>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</si>
  <si>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</si>
  <si>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</si>
  <si>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</si>
  <si>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</si>
  <si>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</si>
  <si>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</si>
  <si>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</si>
  <si>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</si>
  <si>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</si>
  <si>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</si>
  <si>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</si>
  <si>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</si>
  <si>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</si>
  <si>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</si>
  <si>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</si>
  <si>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</si>
  <si>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</si>
  <si>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</si>
  <si>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</si>
  <si>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</si>
  <si>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</si>
  <si>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</si>
  <si>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</si>
  <si>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</si>
  <si>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</si>
  <si>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</si>
  <si>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</si>
  <si>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</si>
  <si>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</si>
  <si>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</si>
  <si>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</si>
  <si>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</si>
  <si>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</si>
  <si>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</si>
  <si>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</si>
  <si>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</si>
  <si>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</si>
  <si>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</si>
  <si>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</si>
  <si>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</si>
  <si>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</si>
  <si>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</si>
  <si>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</si>
  <si>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</si>
  <si>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</si>
  <si>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</si>
  <si>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</si>
  <si>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</si>
  <si>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</si>
  <si>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</si>
  <si>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</si>
  <si>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</si>
  <si>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</si>
  <si>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</si>
  <si>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</si>
  <si>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</si>
  <si>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</si>
  <si>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</si>
  <si>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</si>
  <si>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</si>
  <si>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</si>
  <si>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</si>
  <si>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</si>
  <si>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</si>
  <si>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</si>
  <si>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</si>
  <si>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</si>
  <si>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</si>
  <si>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</si>
  <si>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</si>
  <si>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</si>
  <si>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</si>
  <si>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</si>
  <si>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</si>
  <si>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</si>
  <si>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</si>
  <si>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</si>
  <si>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</si>
  <si>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</si>
  <si>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</si>
  <si>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</si>
  <si>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</si>
  <si>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</si>
  <si>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</si>
  <si>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</si>
  <si>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</si>
  <si>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</si>
  <si>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</si>
  <si>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</si>
  <si>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</si>
  <si>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</si>
  <si>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</si>
  <si>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</si>
  <si>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</si>
  <si>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</si>
  <si>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</si>
  <si>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</si>
  <si>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</si>
  <si>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</si>
  <si>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</si>
  <si>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</si>
  <si>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</si>
  <si>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</si>
  <si>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</si>
  <si>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</si>
  <si>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</si>
  <si>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</si>
  <si>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</si>
  <si>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</si>
  <si>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</si>
  <si>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</si>
  <si>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</si>
  <si>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</si>
  <si>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</si>
  <si>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</si>
  <si>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</si>
  <si>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</si>
  <si>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</si>
  <si>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</si>
  <si>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</si>
  <si>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</si>
  <si>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</si>
  <si>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</si>
  <si>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</si>
  <si>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</si>
  <si>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</si>
  <si>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</si>
  <si>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</si>
  <si>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</si>
  <si>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</si>
  <si>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</si>
  <si>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</si>
  <si>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</si>
  <si>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</si>
  <si>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</si>
  <si>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</si>
  <si>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</si>
  <si>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</si>
  <si>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</si>
  <si>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</si>
  <si>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</si>
  <si>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</si>
  <si>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</si>
  <si>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</si>
  <si>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</si>
  <si>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</si>
  <si>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</si>
  <si>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</si>
  <si>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</si>
  <si>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</si>
  <si>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</si>
  <si>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</si>
  <si>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</si>
  <si>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</si>
  <si>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</si>
  <si>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</si>
  <si>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</si>
  <si>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</si>
  <si>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</si>
  <si>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</si>
  <si>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</si>
  <si>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</si>
  <si>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</si>
  <si>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</si>
  <si>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</si>
  <si>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</si>
  <si>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</si>
  <si>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</si>
  <si>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</si>
  <si>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</si>
  <si>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</si>
  <si>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</si>
  <si>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</si>
  <si>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</si>
  <si>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</si>
  <si>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</si>
  <si>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</si>
  <si>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</si>
  <si>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</si>
  <si>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</si>
  <si>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</si>
  <si>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</si>
  <si>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</si>
  <si>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</si>
  <si>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</si>
  <si>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</si>
  <si>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</si>
  <si>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</si>
  <si>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</si>
  <si>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</si>
  <si>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</si>
  <si>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</si>
  <si>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</si>
  <si>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</si>
  <si>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</si>
  <si>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</si>
  <si>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</si>
  <si>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</si>
  <si>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</si>
  <si>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</si>
  <si>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</si>
  <si>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</si>
  <si>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</si>
  <si>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</si>
  <si>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</si>
  <si>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</si>
  <si>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</si>
  <si>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</si>
  <si>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</si>
  <si>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</si>
  <si>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</si>
  <si>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</si>
  <si>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</si>
  <si>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</si>
  <si>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</si>
  <si>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</si>
  <si>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</si>
  <si>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</si>
  <si>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</si>
  <si>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</si>
  <si>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</si>
  <si>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</si>
  <si>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</si>
  <si>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</si>
  <si>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</si>
  <si>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</si>
  <si>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</si>
  <si>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</si>
  <si>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</si>
  <si>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</si>
  <si>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</si>
  <si>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</si>
  <si>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</si>
  <si>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</si>
  <si>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</si>
  <si>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</si>
  <si>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</si>
  <si>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</si>
  <si>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</si>
  <si>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</si>
  <si>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</si>
  <si>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</si>
  <si>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</si>
  <si>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</si>
  <si>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</si>
  <si>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</si>
  <si>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</si>
  <si>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</si>
  <si>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</si>
  <si>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</si>
  <si>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</si>
  <si>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</si>
  <si>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</si>
  <si>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</si>
  <si>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</si>
  <si>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</si>
  <si>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</si>
  <si>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</si>
  <si>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</si>
  <si>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</si>
  <si>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</si>
  <si>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</si>
  <si>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</si>
  <si>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</si>
  <si>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</si>
  <si>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</si>
  <si>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</si>
  <si>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</si>
  <si>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</si>
  <si>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</si>
  <si>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</si>
  <si>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</si>
  <si>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</si>
  <si>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</si>
  <si>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</si>
  <si>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</si>
  <si>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</si>
  <si>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</si>
  <si>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</si>
  <si>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</si>
  <si>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</si>
  <si>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</si>
  <si>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</si>
  <si>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</si>
  <si>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</si>
  <si>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</si>
  <si>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</si>
  <si>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</si>
  <si>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</si>
  <si>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</si>
  <si>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</si>
  <si>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</si>
  <si>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</si>
  <si>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</si>
  <si>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</si>
  <si>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</si>
  <si>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</si>
  <si>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</si>
  <si>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</si>
  <si>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</si>
  <si>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</si>
  <si>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</si>
  <si>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</si>
  <si>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</si>
  <si>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</si>
  <si>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</si>
  <si>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</si>
  <si>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</si>
  <si>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</si>
  <si>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</si>
  <si>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</si>
  <si>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</si>
  <si>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</si>
  <si>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</si>
  <si>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</si>
  <si>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</si>
  <si>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</si>
  <si>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</si>
  <si>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</si>
  <si>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</si>
  <si>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</si>
  <si>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</si>
  <si>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</si>
  <si>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</si>
  <si>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</si>
  <si>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</si>
  <si>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</si>
  <si>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</si>
  <si>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</si>
  <si>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</si>
  <si>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</si>
  <si>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</si>
  <si>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</si>
  <si>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</si>
  <si>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</si>
  <si>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</si>
  <si>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</si>
  <si>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</si>
  <si>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</si>
  <si>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</si>
  <si>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</si>
  <si>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</si>
  <si>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</si>
  <si>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</si>
  <si>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</si>
  <si>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</si>
  <si>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</si>
  <si>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</si>
  <si>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</si>
  <si>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</si>
  <si>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</si>
  <si>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</si>
  <si>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</si>
  <si>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</si>
  <si>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</si>
  <si>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</si>
  <si>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</si>
  <si>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</si>
  <si>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</si>
  <si>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</si>
  <si>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</si>
  <si>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</si>
  <si>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</si>
  <si>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</si>
  <si>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</si>
  <si>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</si>
  <si>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</si>
  <si>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</si>
  <si>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</si>
  <si>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</si>
  <si>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</si>
  <si>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</si>
  <si>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</si>
  <si>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</si>
  <si>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</si>
  <si>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</si>
  <si>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</si>
  <si>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</si>
  <si>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</si>
  <si>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</si>
  <si>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</si>
  <si>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</si>
  <si>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</si>
  <si>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</si>
  <si>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</si>
  <si>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</si>
  <si>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</si>
  <si>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</si>
  <si>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</si>
  <si>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</si>
  <si>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</si>
  <si>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</si>
  <si>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</si>
  <si>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</si>
  <si>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</si>
  <si>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</si>
  <si>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</si>
  <si>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</si>
  <si>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</si>
  <si>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</si>
  <si>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</si>
  <si>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</si>
  <si>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</si>
  <si>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</si>
  <si>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</si>
  <si>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</si>
  <si>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</si>
  <si>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</si>
  <si>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</si>
  <si>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</si>
  <si>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</si>
  <si>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</si>
  <si>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</si>
  <si>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</si>
  <si>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</si>
  <si>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</si>
  <si>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</si>
  <si>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</si>
  <si>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</si>
  <si>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</si>
  <si>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</si>
  <si>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</si>
  <si>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</si>
  <si>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</si>
  <si>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</si>
  <si>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</si>
  <si>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</si>
  <si>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</si>
  <si>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</si>
  <si>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</si>
  <si>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</si>
  <si>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</si>
  <si>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</si>
  <si>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</si>
  <si>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</si>
  <si>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</si>
  <si>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</si>
  <si>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</si>
  <si>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</si>
  <si>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</si>
  <si>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</si>
  <si>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</si>
  <si>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</si>
  <si>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</si>
  <si>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</si>
  <si>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</si>
  <si>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</si>
  <si>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</si>
  <si>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</si>
  <si>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</si>
  <si>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</si>
  <si>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</si>
  <si>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</si>
  <si>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</si>
  <si>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</si>
  <si>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</si>
  <si>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</si>
  <si>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</si>
  <si>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</si>
  <si>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</si>
  <si>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</si>
  <si>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</si>
  <si>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</si>
  <si>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</si>
  <si>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</si>
  <si>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</si>
  <si>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</si>
  <si>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</si>
  <si>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</si>
  <si>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</si>
  <si>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</si>
  <si>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</si>
  <si>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</si>
  <si>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</si>
  <si>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</si>
  <si>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</si>
  <si>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</si>
  <si>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</si>
  <si>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</si>
  <si>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</si>
  <si>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</si>
  <si>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</si>
  <si>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</si>
  <si>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</si>
  <si>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</si>
  <si>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</si>
  <si>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</si>
  <si>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</si>
  <si>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</si>
  <si>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</si>
  <si>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</si>
  <si>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</si>
  <si>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</si>
  <si>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</si>
  <si>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</si>
  <si>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</si>
  <si>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</si>
  <si>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</si>
  <si>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</si>
  <si>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</si>
  <si>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</si>
  <si>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</si>
  <si>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</si>
  <si>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</si>
  <si>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</si>
  <si>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</si>
  <si>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</si>
  <si>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</si>
  <si>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</si>
  <si>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</si>
  <si>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</si>
  <si>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</si>
  <si>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</si>
  <si>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</si>
  <si>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</si>
  <si>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</si>
  <si>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</si>
  <si>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</si>
  <si>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</si>
  <si>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</si>
  <si>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</si>
  <si>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</si>
  <si>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</si>
  <si>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</si>
  <si>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</si>
  <si>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</si>
  <si>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</si>
  <si>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</si>
  <si>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</si>
  <si>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</si>
  <si>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</si>
  <si>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</si>
  <si>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</si>
  <si>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</si>
  <si>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</si>
  <si>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</si>
  <si>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</si>
  <si>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</si>
  <si>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</si>
  <si>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</si>
  <si>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</si>
  <si>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</si>
  <si>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</si>
  <si>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</si>
  <si>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</si>
  <si>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</si>
  <si>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</si>
  <si>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</si>
  <si>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</si>
  <si>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</si>
  <si>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</si>
  <si>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</si>
  <si>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</si>
  <si>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</si>
  <si>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</si>
  <si>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</si>
  <si>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</si>
  <si>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</si>
  <si>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</si>
  <si>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</si>
  <si>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</si>
  <si>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</si>
  <si>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</si>
  <si>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</si>
  <si>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</si>
  <si>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</si>
  <si>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</si>
  <si>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</si>
  <si>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</si>
  <si>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</si>
  <si>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</si>
  <si>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</si>
  <si>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</si>
  <si>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</si>
  <si>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</si>
  <si>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</si>
  <si>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</si>
  <si>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</si>
  <si>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</si>
  <si>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</si>
  <si>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</si>
  <si>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</si>
  <si>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</si>
  <si>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</si>
  <si>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</si>
  <si>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</si>
  <si>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</si>
  <si>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</si>
  <si>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</si>
  <si>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</si>
  <si>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</si>
  <si>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</si>
  <si>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</si>
  <si>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</si>
  <si>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</si>
  <si>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</si>
  <si>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</si>
  <si>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</si>
  <si>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</si>
  <si>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</si>
  <si>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</si>
  <si>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</si>
  <si>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</si>
  <si>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</si>
  <si>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</si>
  <si>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</si>
  <si>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</si>
  <si>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</si>
  <si>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</si>
  <si>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</si>
  <si>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</si>
  <si>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</si>
  <si>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</si>
  <si>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</si>
  <si>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</si>
  <si>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</si>
  <si>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</si>
  <si>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</si>
  <si>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</si>
  <si>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</si>
  <si>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</si>
  <si>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</si>
  <si>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</si>
  <si>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</si>
  <si>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</si>
  <si>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</si>
  <si>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</si>
  <si>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</si>
  <si>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</si>
  <si>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</si>
  <si>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</si>
  <si>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</si>
  <si>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</si>
  <si>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</si>
  <si>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</si>
  <si>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</si>
  <si>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</si>
  <si>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</si>
  <si>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</si>
  <si>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</si>
  <si>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</si>
  <si>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</si>
  <si>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</si>
  <si>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</si>
  <si>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</si>
  <si>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</si>
  <si>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</si>
  <si>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</si>
  <si>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</si>
  <si>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</si>
  <si>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</si>
  <si>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</si>
  <si>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</si>
  <si>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</si>
  <si>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</si>
  <si>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</si>
  <si>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</si>
  <si>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</si>
  <si>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</si>
  <si>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</si>
  <si>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</si>
  <si>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</si>
  <si>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</si>
  <si>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</si>
  <si>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</si>
  <si>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</si>
  <si>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</si>
  <si>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</si>
  <si>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</si>
  <si>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</si>
  <si>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</si>
  <si>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</si>
  <si>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</si>
  <si>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</si>
  <si>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</si>
  <si>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</si>
  <si>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</si>
  <si>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</si>
  <si>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</si>
  <si>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</si>
  <si>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</si>
  <si>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</si>
  <si>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</si>
  <si>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</si>
  <si>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</si>
  <si>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</si>
  <si>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</si>
  <si>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</si>
  <si>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</si>
  <si>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</si>
  <si>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</si>
  <si>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</si>
  <si>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</si>
  <si>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</si>
  <si>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</si>
  <si>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</si>
  <si>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</si>
  <si>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</si>
  <si>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</si>
  <si>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</si>
  <si>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</si>
  <si>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</si>
  <si>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</si>
  <si>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</si>
  <si>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</si>
  <si>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</si>
  <si>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</si>
  <si>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</si>
  <si>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</si>
  <si>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</si>
  <si>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</si>
  <si>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</si>
  <si>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</si>
  <si>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</si>
  <si>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</si>
  <si>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</si>
  <si>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</si>
  <si>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</si>
  <si>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</si>
  <si>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</si>
  <si>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</si>
  <si>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</si>
  <si>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</si>
  <si>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</si>
  <si>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</si>
  <si>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</si>
  <si>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</si>
  <si>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</si>
  <si>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</si>
  <si>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</si>
  <si>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</si>
  <si>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</si>
  <si>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</si>
  <si>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</si>
  <si>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</si>
  <si>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</si>
  <si>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</si>
  <si>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</si>
  <si>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</si>
  <si>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</si>
  <si>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</si>
  <si>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</si>
  <si>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</si>
  <si>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</si>
  <si>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</si>
  <si>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</si>
  <si>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</si>
  <si>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</si>
  <si>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</si>
  <si>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</si>
  <si>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</si>
  <si>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</si>
  <si>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</si>
  <si>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</si>
  <si>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</si>
  <si>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</si>
  <si>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</si>
  <si>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</si>
  <si>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</si>
  <si>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</si>
  <si>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</si>
  <si>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</si>
  <si>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</si>
  <si>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</si>
  <si>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</si>
  <si>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</si>
  <si>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</si>
  <si>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</si>
  <si>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</si>
  <si>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</si>
  <si>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</si>
  <si>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</si>
  <si>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</si>
  <si>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</si>
  <si>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</si>
  <si>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</si>
  <si>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</si>
  <si>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</si>
  <si>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</si>
  <si>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</si>
  <si>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</si>
  <si>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</si>
  <si>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</si>
  <si>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</si>
  <si>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</si>
  <si>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</si>
  <si>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</si>
  <si>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</si>
  <si>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</si>
  <si>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</si>
  <si>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</si>
  <si>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</si>
  <si>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</si>
  <si>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</si>
  <si>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</si>
  <si>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</si>
  <si>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</si>
  <si>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</si>
  <si>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</si>
  <si>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</si>
  <si>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</si>
  <si>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</si>
  <si>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</si>
  <si>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</si>
  <si>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</si>
  <si>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</si>
  <si>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</si>
  <si>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</si>
  <si>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</si>
  <si>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</si>
  <si>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</si>
  <si>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</si>
  <si>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</si>
  <si>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</si>
  <si>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</si>
  <si>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</si>
  <si>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</si>
  <si>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</si>
  <si>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</si>
  <si>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</si>
  <si>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</si>
  <si>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</si>
  <si>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</si>
  <si>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</si>
  <si>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</si>
  <si>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</si>
  <si>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</si>
  <si>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</si>
  <si>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</si>
  <si>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</si>
  <si>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</si>
  <si>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</si>
  <si>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</si>
  <si>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</si>
  <si>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</si>
  <si>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</si>
  <si>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</si>
  <si>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</si>
  <si>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</si>
  <si>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</si>
  <si>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</si>
  <si>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</si>
  <si>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</si>
  <si>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</si>
  <si>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</si>
  <si>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</si>
  <si>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</si>
  <si>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</si>
  <si>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</si>
  <si>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</si>
  <si>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</si>
  <si>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</si>
  <si>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</si>
  <si>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</si>
  <si>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</si>
  <si>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</si>
  <si>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</si>
  <si>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</si>
  <si>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</si>
  <si>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</si>
  <si>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</si>
  <si>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</si>
  <si>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</si>
  <si>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</si>
  <si>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</si>
  <si>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</si>
  <si>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</si>
  <si>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</si>
  <si>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</si>
  <si>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</si>
  <si>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</si>
  <si>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</si>
  <si>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</si>
  <si>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</si>
  <si>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</si>
  <si>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</si>
  <si>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</si>
  <si>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</si>
  <si>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</si>
  <si>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</si>
  <si>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</si>
  <si>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</si>
  <si>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</si>
  <si>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</si>
  <si>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</si>
  <si>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</si>
  <si>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</si>
  <si>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</si>
  <si>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</si>
  <si>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</si>
  <si>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</si>
  <si>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</si>
  <si>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</si>
  <si>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</si>
  <si>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</si>
  <si>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</si>
  <si>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</si>
  <si>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</si>
  <si>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</si>
  <si>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</si>
  <si>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</si>
  <si>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</si>
  <si>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</si>
  <si>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</si>
  <si>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</si>
  <si>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</si>
  <si>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</si>
  <si>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</si>
  <si>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</si>
  <si>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</si>
  <si>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</si>
  <si>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</si>
  <si>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</si>
  <si>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</si>
  <si>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</si>
  <si>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</si>
  <si>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</si>
  <si>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</si>
  <si>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</si>
  <si>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</si>
  <si>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</si>
  <si>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</si>
  <si>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</si>
  <si>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</si>
  <si>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</si>
  <si>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</si>
  <si>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</si>
  <si>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</si>
  <si>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</si>
  <si>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</si>
  <si>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</si>
  <si>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</si>
  <si>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</si>
  <si>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</si>
  <si>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</si>
  <si>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</si>
  <si>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</si>
  <si>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</si>
  <si>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</si>
  <si>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</si>
  <si>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</si>
  <si>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</si>
  <si>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</si>
  <si>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</si>
  <si>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</si>
  <si>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</si>
  <si>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</si>
  <si>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</si>
  <si>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</si>
  <si>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</si>
  <si>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</si>
  <si>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</si>
  <si>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</si>
  <si>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</si>
  <si>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</si>
  <si>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</si>
  <si>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</si>
  <si>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</si>
  <si>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</si>
  <si>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</si>
  <si>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</si>
  <si>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</si>
  <si>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</si>
  <si>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</si>
  <si>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</si>
  <si>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</si>
  <si>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</si>
  <si>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</si>
  <si>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</si>
  <si>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</si>
  <si>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</si>
  <si>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</si>
  <si>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</si>
  <si>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</si>
  <si>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</si>
  <si>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</si>
  <si>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</si>
  <si>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</si>
  <si>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</si>
  <si>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</si>
  <si>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</si>
  <si>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</si>
  <si>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</si>
  <si>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</si>
  <si>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</si>
  <si>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</si>
  <si>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</si>
  <si>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</si>
  <si>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</si>
  <si>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</si>
  <si>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</si>
  <si>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</si>
  <si>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</si>
  <si>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</si>
  <si>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</si>
  <si>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</si>
  <si>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</si>
  <si>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</si>
  <si>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</si>
  <si>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</si>
  <si>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</si>
  <si>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</si>
  <si>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</si>
  <si>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</si>
  <si>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</si>
  <si>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</si>
  <si>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</si>
  <si>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</si>
  <si>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</si>
  <si>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</si>
  <si>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</si>
  <si>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</si>
  <si>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</si>
  <si>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</si>
  <si>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</si>
  <si>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</si>
  <si>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</si>
  <si>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</si>
  <si>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</si>
  <si>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</si>
  <si>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</si>
  <si>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</si>
  <si>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</si>
  <si>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</si>
  <si>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</si>
  <si>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</si>
  <si>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</si>
  <si>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</si>
  <si>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</si>
  <si>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</si>
  <si>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</si>
  <si>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</si>
  <si>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</si>
  <si>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</si>
  <si>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</si>
  <si>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</si>
  <si>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</si>
  <si>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</si>
  <si>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</si>
  <si>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</si>
  <si>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</si>
  <si>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</si>
  <si>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</si>
  <si>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</si>
  <si>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</si>
  <si>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</si>
  <si>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</si>
  <si>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</si>
  <si>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</si>
  <si>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</si>
  <si>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</si>
  <si>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</si>
  <si>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</si>
  <si>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</si>
  <si>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</si>
  <si>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</si>
  <si>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</si>
  <si>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</si>
  <si>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</si>
  <si>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</si>
  <si>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</si>
  <si>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</si>
  <si>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</si>
  <si>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</si>
  <si>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</si>
  <si>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</si>
  <si>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</si>
  <si>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</si>
  <si>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</si>
  <si>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</si>
  <si>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</si>
  <si>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</si>
  <si>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</si>
  <si>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</si>
  <si>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</si>
  <si>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</si>
  <si>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</si>
  <si>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</si>
  <si>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</si>
  <si>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</si>
  <si>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</si>
  <si>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</si>
  <si>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</si>
  <si>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</si>
  <si>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</si>
  <si>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</si>
  <si>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</si>
  <si>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</si>
  <si>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</si>
  <si>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</si>
  <si>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</si>
  <si>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</si>
  <si>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</si>
  <si>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</si>
  <si>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</si>
  <si>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</si>
  <si>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</si>
  <si>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</si>
  <si>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</si>
  <si>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</si>
  <si>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</si>
  <si>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</si>
  <si>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</si>
  <si>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</si>
  <si>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</si>
  <si>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</si>
  <si>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</si>
  <si>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</si>
  <si>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</si>
  <si>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</si>
  <si>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</si>
  <si>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</si>
  <si>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</si>
  <si>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</si>
  <si>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</si>
  <si>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</si>
  <si>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</si>
  <si>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</si>
  <si>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</si>
  <si>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</si>
  <si>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</si>
  <si>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</si>
  <si>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</si>
  <si>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</si>
  <si>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</si>
  <si>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</si>
  <si>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</si>
  <si>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</si>
  <si>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</si>
  <si>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</si>
  <si>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</si>
  <si>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</si>
  <si>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</si>
  <si>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</si>
  <si>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</si>
  <si>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</si>
  <si>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</si>
  <si>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</si>
  <si>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</si>
  <si>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</si>
  <si>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</si>
  <si>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</si>
  <si>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</si>
  <si>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</si>
  <si>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</si>
  <si>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</si>
  <si>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</si>
  <si>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</si>
  <si>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</si>
  <si>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</si>
  <si>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</si>
  <si>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</si>
  <si>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</si>
  <si>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</si>
  <si>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</si>
  <si>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</si>
  <si>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</si>
  <si>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</si>
  <si>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</si>
  <si>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</si>
  <si>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</si>
  <si>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</si>
  <si>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</si>
  <si>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</si>
  <si>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</si>
  <si>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</si>
  <si>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</si>
  <si>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</si>
  <si>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</si>
  <si>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</si>
  <si>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</si>
  <si>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</si>
  <si>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</si>
  <si>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</si>
  <si>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</si>
  <si>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</si>
  <si>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</si>
  <si>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</si>
  <si>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</si>
  <si>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</si>
  <si>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</si>
  <si>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</si>
  <si>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</si>
  <si>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</si>
  <si>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</si>
  <si>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</si>
  <si>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</si>
  <si>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</si>
  <si>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</si>
  <si>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</si>
  <si>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</si>
  <si>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</si>
  <si>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</si>
  <si>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</si>
  <si>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</si>
  <si>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</si>
  <si>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</si>
  <si>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</si>
  <si>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</si>
  <si>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</si>
  <si>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</si>
  <si>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</si>
  <si>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</si>
  <si>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</si>
  <si>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</si>
  <si>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</si>
  <si>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</si>
  <si>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</si>
  <si>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</si>
  <si>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</si>
  <si>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</si>
  <si>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</si>
  <si>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</si>
  <si>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</si>
  <si>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</si>
  <si>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</si>
  <si>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</si>
  <si>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</si>
  <si>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</si>
  <si>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</si>
  <si>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</si>
  <si>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</si>
  <si>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</si>
  <si>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</si>
  <si>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</si>
  <si>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</si>
  <si>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</si>
  <si>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</si>
  <si>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</si>
  <si>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</si>
  <si>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</si>
  <si>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</si>
  <si>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</si>
  <si>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</si>
  <si>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</si>
  <si>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</si>
  <si>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</si>
  <si>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</si>
  <si>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</si>
  <si>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</si>
  <si>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</si>
  <si>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</si>
  <si>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</si>
  <si>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</si>
  <si>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</si>
  <si>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</si>
  <si>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</si>
  <si>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</si>
  <si>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</si>
  <si>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</si>
  <si>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</si>
  <si>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</si>
  <si>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</si>
  <si>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</si>
  <si>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</si>
  <si>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</si>
  <si>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</si>
  <si>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</si>
  <si>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</si>
  <si>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</si>
  <si>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</si>
  <si>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</si>
  <si>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</si>
  <si>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</si>
  <si>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</si>
  <si>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</si>
  <si>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</si>
  <si>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</si>
  <si>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</si>
  <si>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</si>
  <si>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</si>
  <si>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</si>
  <si>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</si>
  <si>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</si>
  <si>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</si>
  <si>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</si>
  <si>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</si>
  <si>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</si>
  <si>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</si>
  <si>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</si>
  <si>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</si>
  <si>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</si>
  <si>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</si>
  <si>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</si>
  <si>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</si>
  <si>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</si>
  <si>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</si>
  <si>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</si>
  <si>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</si>
  <si>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</si>
  <si>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</si>
  <si>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</si>
  <si>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</si>
  <si>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</si>
  <si>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</si>
  <si>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</si>
  <si>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</si>
  <si>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</si>
  <si>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</si>
  <si>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</si>
  <si>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</si>
  <si>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</si>
  <si>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</si>
  <si>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</si>
  <si>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</si>
  <si>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</si>
  <si>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</si>
  <si>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</si>
  <si>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</si>
  <si>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</si>
  <si>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</si>
  <si>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</si>
  <si>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</si>
  <si>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</si>
  <si>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</si>
  <si>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</si>
  <si>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</si>
  <si>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</si>
  <si>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</si>
  <si>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</si>
  <si>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</si>
  <si>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</si>
  <si>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</si>
  <si>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</si>
  <si>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</si>
  <si>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</si>
  <si>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</si>
  <si>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</si>
  <si>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</si>
  <si>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</si>
  <si>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</si>
  <si>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</si>
  <si>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</si>
  <si>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</si>
  <si>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</si>
  <si>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</si>
  <si>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</si>
  <si>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</si>
  <si>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</si>
  <si>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</si>
  <si>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</si>
  <si>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</si>
  <si>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</si>
  <si>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</si>
  <si>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</si>
  <si>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</si>
  <si>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</si>
  <si>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</si>
  <si>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</si>
  <si>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</si>
  <si>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</si>
  <si>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</si>
  <si>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</si>
  <si>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</si>
  <si>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</si>
  <si>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</si>
  <si>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</si>
  <si>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</si>
  <si>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</si>
  <si>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</si>
  <si>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</si>
  <si>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</si>
  <si>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</si>
  <si>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</si>
  <si>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</si>
  <si>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</si>
  <si>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</si>
  <si>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</si>
  <si>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</si>
  <si>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</si>
  <si>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</si>
  <si>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</si>
  <si>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</si>
  <si>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</si>
  <si>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</si>
  <si>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</si>
  <si>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</si>
  <si>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</si>
  <si>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</si>
  <si>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</si>
  <si>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</si>
  <si>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</si>
  <si>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</si>
  <si>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</si>
  <si>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</si>
  <si>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</si>
  <si>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</si>
  <si>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</si>
  <si>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</si>
  <si>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</si>
  <si>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</si>
  <si>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</si>
  <si>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</si>
  <si>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</si>
  <si>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</si>
  <si>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</si>
  <si>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</si>
  <si>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</si>
  <si>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</si>
  <si>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</si>
  <si>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</si>
  <si>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</si>
  <si>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</si>
  <si>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</si>
  <si>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</si>
  <si>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</si>
  <si>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</si>
  <si>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</si>
  <si>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</si>
  <si>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</si>
  <si>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</si>
  <si>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</si>
  <si>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</si>
  <si>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</si>
  <si>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</si>
  <si>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</si>
  <si>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</si>
  <si>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</si>
  <si>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</si>
  <si>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</si>
  <si>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</si>
  <si>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</si>
  <si>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</si>
  <si>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</si>
  <si>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</si>
  <si>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</si>
  <si>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</si>
  <si>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</si>
  <si>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</si>
  <si>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</si>
  <si>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</si>
  <si>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</si>
  <si>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</si>
  <si>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</si>
  <si>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</si>
  <si>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</si>
  <si>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</si>
  <si>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</si>
  <si>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</si>
  <si>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</si>
  <si>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</si>
  <si>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</si>
  <si>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</si>
  <si>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</si>
  <si>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</si>
  <si>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</si>
  <si>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</si>
  <si>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</si>
  <si>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</si>
  <si>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</si>
  <si>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</si>
  <si>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</si>
  <si>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</si>
  <si>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</si>
  <si>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</si>
  <si>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</si>
  <si>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</si>
  <si>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</si>
  <si>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</si>
  <si>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</si>
  <si>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</si>
  <si>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</si>
  <si>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</si>
  <si>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</si>
  <si>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</si>
  <si>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</si>
  <si>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</si>
  <si>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</si>
  <si>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</si>
  <si>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</si>
  <si>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</si>
  <si>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</si>
  <si>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</si>
  <si>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</si>
  <si>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</si>
  <si>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</si>
  <si>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</si>
  <si>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</si>
  <si>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</si>
  <si>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</si>
  <si>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</si>
  <si>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</si>
  <si>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</si>
  <si>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</si>
  <si>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</si>
  <si>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</si>
  <si>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</si>
  <si>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</si>
  <si>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</si>
  <si>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</si>
  <si>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</si>
  <si>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</si>
  <si>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</si>
  <si>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</si>
  <si>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</si>
  <si>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</si>
  <si>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</si>
  <si>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</si>
  <si>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</si>
  <si>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</si>
  <si>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</si>
  <si>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</si>
  <si>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</si>
  <si>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</si>
  <si>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</si>
  <si>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</si>
  <si>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</si>
  <si>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</si>
  <si>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</si>
  <si>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</si>
  <si>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</si>
  <si>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</si>
  <si>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</si>
  <si>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</si>
  <si>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</si>
  <si>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</si>
  <si>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</si>
  <si>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</si>
  <si>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</si>
  <si>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</si>
  <si>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</si>
  <si>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</si>
  <si>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</si>
  <si>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</si>
  <si>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</si>
  <si>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</si>
  <si>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</si>
  <si>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</si>
  <si>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</si>
  <si>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</si>
  <si>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</si>
  <si>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</si>
  <si>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</si>
  <si>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</si>
  <si>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</si>
  <si>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</si>
  <si>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</si>
  <si>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</si>
  <si>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</si>
  <si>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</si>
  <si>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</si>
  <si>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</si>
  <si>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</si>
  <si>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</si>
  <si>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</si>
  <si>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</si>
  <si>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</si>
  <si>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</si>
  <si>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športové rybárstvo - bežné transfery</t>
  </si>
  <si>
    <t>BU2-002-001</t>
  </si>
  <si>
    <t>20250201</t>
  </si>
  <si>
    <t>Vyhotovenie webovej stránky, servisný poplatok za pravidelné zálohovanie, bezpečnostná aktualizácia použitého softwaru, licencia a webhosting pre ŠO LRU kapor</t>
  </si>
  <si>
    <t>50174614</t>
  </si>
  <si>
    <t>NEORA, s.r.o.</t>
  </si>
  <si>
    <t>BU2-002-002</t>
  </si>
  <si>
    <t>18</t>
  </si>
  <si>
    <t>registračný poplatok na MS LRU mucha 2025 vrátane poplatku za ubytovanie</t>
  </si>
  <si>
    <t>Česká republika</t>
  </si>
  <si>
    <t>Ceský rybársky svaz, z.s., Jihočeský územní svaz</t>
  </si>
  <si>
    <t>BU2-003-001 BU2-003-002 BU2-003-003 BU2-003-004 BU2-003-005</t>
  </si>
  <si>
    <t>Hrubé mzdy vyplatené osobám (zamestnancom) vrátane odvodov zamestnávateľa
počet fyzických osôb 2
obdobie január 2025</t>
  </si>
  <si>
    <t xml:space="preserve">                     35937874          30807484               42499500</t>
  </si>
  <si>
    <t>BU2-003-006</t>
  </si>
  <si>
    <t>pracovná cesta - cestovný príkaz - sústredenie juniorskej reprezentácie LRU mucha v dňoch 01.02.2024 - 02.02.2025 Borová Sihoť, spôsob dopravy autom</t>
  </si>
  <si>
    <t>Ing. Peter Tomko</t>
  </si>
  <si>
    <t>BU2-004-001</t>
  </si>
  <si>
    <t>Milan Čubík</t>
  </si>
  <si>
    <t>BU2-005-001</t>
  </si>
  <si>
    <t>registračný poplatok na 4. MS Masters LRU feeder v dňoch 7.4.-13.4.2025 v Španielsku</t>
  </si>
  <si>
    <t>Španielsko</t>
  </si>
  <si>
    <t>Federacion da Pesca da la Comunidad Valenciana</t>
  </si>
  <si>
    <t>BU2-005-002</t>
  </si>
  <si>
    <t>registračný poplatok na 22. MS národov LRU prívlač v dňoch 2.4.-6.4.2025 v Poľsku</t>
  </si>
  <si>
    <t>Poľsko</t>
  </si>
  <si>
    <t>Polski Zeiazek Wedkarski</t>
  </si>
  <si>
    <t>BU2-006-001</t>
  </si>
  <si>
    <t>poplatok medzinárodnej športovej federácií Conféderation Internationale de la Peche Sportive - preúčtovanie</t>
  </si>
  <si>
    <t>Francúzsko</t>
  </si>
  <si>
    <t>C.I.P.S. Confédération Internationale de la Peche Sportive</t>
  </si>
  <si>
    <t>BU2-007-001</t>
  </si>
  <si>
    <t>registračný poplatok na 2. MS U25 LRU feeder v dňoch 7.4.-13.4.2025 v Španielsku</t>
  </si>
  <si>
    <t>Hrubé mzdy vyplatené osobám (zamestnancom) vrátane odvodov zamestnávateľa
počet fyzických osôb 3
obdobie február 2025</t>
  </si>
  <si>
    <t>osoba č. 1,2,3                                      Všeobecná zdravotná poisťovňa Sociálna poisťovňa,              Daňový úrad</t>
  </si>
  <si>
    <t>osoba č. 1,2                                      Všeobecná zdravotná poisťovňa Sociálna poisťovňa,              Daňový úrad</t>
  </si>
  <si>
    <t>oblečenie pre reprezentáciu LRU F 2025</t>
  </si>
  <si>
    <t>Simply supplies, a.s.</t>
  </si>
  <si>
    <t>ubytovanie na 22. MS národov LRU prívlač v dňoch 2.4.-6.4.2025 v Poľsku</t>
  </si>
  <si>
    <t>The Lion Bridge Rogoznik LTD</t>
  </si>
  <si>
    <t>30250049</t>
  </si>
  <si>
    <t>19</t>
  </si>
  <si>
    <t>36283355</t>
  </si>
  <si>
    <t>BU2-008-001 BU2-008-002 BU2-008-003 BU2-008-004 BU2-008-005  BU2-008-006</t>
  </si>
  <si>
    <t>BU2-009-001</t>
  </si>
  <si>
    <t>BU2-010-001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</si>
</sst>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78" val="6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14"/>
      <c r="D1" s="314"/>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15"/>
      <c r="D21" s="315"/>
    </row>
    <row r="22" spans="1:4" x14ac:dyDescent="0.25">
      <c r="C22" s="316"/>
      <c r="D22" s="315"/>
    </row>
    <row r="23" spans="1:4" ht="66" x14ac:dyDescent="0.25">
      <c r="A23" s="23" t="s">
        <v>16</v>
      </c>
      <c r="C23" s="255"/>
      <c r="D23" s="256"/>
    </row>
    <row r="24" spans="1:4" ht="12.75" customHeight="1" x14ac:dyDescent="0.25">
      <c r="C24" s="312"/>
      <c r="D24" s="313"/>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7" t="s">
        <v>93</v>
      </c>
      <c r="B1" s="317"/>
      <c r="C1" s="317"/>
      <c r="D1" s="317"/>
      <c r="E1" s="317"/>
      <c r="F1" s="317"/>
      <c r="G1" s="317"/>
      <c r="H1" s="317"/>
      <c r="I1" s="52"/>
      <c r="J1" s="37"/>
    </row>
    <row r="2" spans="1:11" ht="15.6" x14ac:dyDescent="0.3">
      <c r="A2" s="323" t="s">
        <v>94</v>
      </c>
      <c r="B2" s="323"/>
      <c r="C2" s="323"/>
      <c r="D2" s="323"/>
      <c r="E2" s="323"/>
      <c r="F2" s="323"/>
      <c r="G2" s="323"/>
      <c r="H2" s="321" t="str">
        <f>+Doklady!I100</f>
        <v>V1</v>
      </c>
      <c r="I2" s="321"/>
    </row>
    <row r="3" spans="1:11" ht="13.8" x14ac:dyDescent="0.25">
      <c r="A3" s="40"/>
      <c r="B3" s="40"/>
      <c r="C3" s="40"/>
      <c r="D3" s="40"/>
      <c r="E3" s="40"/>
      <c r="F3" s="40"/>
      <c r="G3" s="40"/>
      <c r="H3" s="322">
        <f>+Doklady!I101</f>
        <v>45740</v>
      </c>
      <c r="I3" s="322"/>
    </row>
    <row r="4" spans="1:11" ht="15.75" customHeight="1" x14ac:dyDescent="0.25">
      <c r="A4" s="41" t="s">
        <v>95</v>
      </c>
      <c r="B4" s="318" t="s">
        <v>96</v>
      </c>
      <c r="C4" s="319"/>
      <c r="D4" s="319"/>
      <c r="E4" s="320"/>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3" sqref="C13"/>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6" t="s">
        <v>347</v>
      </c>
      <c r="B1" s="327"/>
      <c r="C1" s="174">
        <v>45747</v>
      </c>
      <c r="D1" s="26"/>
      <c r="G1" s="252">
        <v>45688</v>
      </c>
    </row>
    <row r="2" spans="1:7" ht="13.8" x14ac:dyDescent="0.25">
      <c r="A2" s="28"/>
      <c r="B2" s="28"/>
      <c r="G2" s="252">
        <v>45716</v>
      </c>
    </row>
    <row r="3" spans="1:7" ht="13.8" x14ac:dyDescent="0.25">
      <c r="A3" s="30" t="s">
        <v>348</v>
      </c>
      <c r="B3" s="324" t="str">
        <f>INDEX(Adr!B:B,Doklady!B102+1)</f>
        <v>Slovenský zväz športového rybolovu</v>
      </c>
      <c r="C3" s="324"/>
      <c r="D3" s="324"/>
      <c r="G3" s="252">
        <v>45747</v>
      </c>
    </row>
    <row r="4" spans="1:7" ht="13.8" x14ac:dyDescent="0.25">
      <c r="A4" s="30" t="s">
        <v>349</v>
      </c>
      <c r="B4" s="29" t="str">
        <f>RIGHT("0000"&amp;INDEX(Adr!A:A,Doklady!B102+1),8)</f>
        <v>51118831</v>
      </c>
      <c r="G4" s="252">
        <v>45777</v>
      </c>
    </row>
    <row r="5" spans="1:7" ht="13.8" x14ac:dyDescent="0.25">
      <c r="A5" s="30" t="s">
        <v>350</v>
      </c>
      <c r="B5" s="29" t="str">
        <f>INDEX(Adr!D:D,Doklady!B102+1)&amp;", "&amp;INDEX(Adr!E:E,Doklady!B102+1)</f>
        <v>Andreja Kmeťa 314/20, Žilina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v>36359</v>
      </c>
      <c r="G11" s="252">
        <v>45991</v>
      </c>
    </row>
    <row r="12" spans="1:7" ht="13.8" x14ac:dyDescent="0.25">
      <c r="A12" s="133" t="s">
        <v>357</v>
      </c>
      <c r="B12" s="134" t="s">
        <v>358</v>
      </c>
      <c r="C12" s="175">
        <v>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36359</v>
      </c>
      <c r="G15" s="252"/>
    </row>
    <row r="16" spans="1:7" ht="13.8" x14ac:dyDescent="0.25">
      <c r="G16" s="252"/>
    </row>
    <row r="17" spans="1:5" ht="72" customHeight="1" x14ac:dyDescent="0.25">
      <c r="A17" s="325" t="s">
        <v>364</v>
      </c>
      <c r="B17" s="325"/>
      <c r="C17" s="325"/>
      <c r="D17" s="325"/>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35"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36" t="s">
        <v>365</v>
      </c>
      <c r="B1" s="336"/>
      <c r="C1" s="336"/>
      <c r="D1" s="336"/>
      <c r="E1" s="336"/>
      <c r="F1" s="336"/>
      <c r="G1" s="336"/>
      <c r="H1" s="336"/>
      <c r="I1" s="336"/>
    </row>
    <row r="2" spans="1:26" ht="7.5" customHeight="1" x14ac:dyDescent="0.2">
      <c r="C2" s="8"/>
      <c r="D2" s="8"/>
      <c r="E2" s="8"/>
      <c r="F2" s="8"/>
      <c r="G2" s="8"/>
      <c r="H2" s="8"/>
      <c r="I2" s="8"/>
    </row>
    <row r="3" spans="1:26" s="9" customFormat="1" ht="26.1" customHeight="1" x14ac:dyDescent="0.25">
      <c r="B3" s="160" t="s">
        <v>95</v>
      </c>
      <c r="C3" s="337" t="e">
        <f>INDEX(Adr!B2:B70,Doklady!B102)</f>
        <v>#REF!</v>
      </c>
      <c r="D3" s="337"/>
      <c r="E3" s="337"/>
      <c r="F3" s="337"/>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51118831</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Andreja Kmeťa 314/20, Žilina, 010 01</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38" t="s">
        <v>370</v>
      </c>
      <c r="F9" s="339"/>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29">
        <f>SUMIF(K:K,A10,I:I)</f>
        <v>0</v>
      </c>
      <c r="F10" s="330"/>
      <c r="L10" s="120" t="s">
        <v>371</v>
      </c>
      <c r="M10" s="118"/>
      <c r="N10" s="118"/>
      <c r="O10" s="118"/>
      <c r="P10" s="118"/>
      <c r="Q10" s="118"/>
      <c r="R10" s="118"/>
      <c r="S10" s="118"/>
    </row>
    <row r="11" spans="1:26" ht="17.399999999999999" x14ac:dyDescent="0.3">
      <c r="A11" s="69" t="s">
        <v>355</v>
      </c>
      <c r="B11" s="70" t="s">
        <v>356</v>
      </c>
      <c r="C11" s="126">
        <f>SUMIF(FP!J:J,Doklady!$B$1&amp;A11,FP!D:D)</f>
        <v>145435</v>
      </c>
      <c r="D11" s="126">
        <f>+C11-E11</f>
        <v>30485.740000000005</v>
      </c>
      <c r="E11" s="340">
        <f>+I39-I42+I44-I47</f>
        <v>114949.26</v>
      </c>
      <c r="F11" s="341"/>
      <c r="J11" s="176"/>
      <c r="L11" s="161" t="str">
        <f>L41</f>
        <v>a - športové rybárstvo - bežné transfery</v>
      </c>
      <c r="M11" s="118"/>
      <c r="N11" s="118"/>
      <c r="O11" s="118"/>
      <c r="P11" s="118"/>
      <c r="Q11" s="118"/>
      <c r="R11" s="118"/>
      <c r="S11" s="118"/>
    </row>
    <row r="12" spans="1:26" ht="17.399999999999999" x14ac:dyDescent="0.3">
      <c r="A12" s="69" t="s">
        <v>357</v>
      </c>
      <c r="B12" s="70" t="s">
        <v>358</v>
      </c>
      <c r="C12" s="126">
        <f>SUMIF(FP!J:J,Doklady!$B$1&amp;A12,FP!D:D)</f>
        <v>0</v>
      </c>
      <c r="D12" s="126">
        <f>C12-E12</f>
        <v>0</v>
      </c>
      <c r="E12" s="329">
        <f>SUMIF(K:K,A12,I:I)</f>
        <v>0</v>
      </c>
      <c r="F12" s="330"/>
      <c r="J12" s="177"/>
      <c r="L12" s="161" t="str">
        <f>L42</f>
        <v>a - športové rybárstvo - kapitálové transfery</v>
      </c>
      <c r="N12" s="118"/>
      <c r="O12" s="118"/>
      <c r="P12" s="118"/>
      <c r="Q12" s="118"/>
      <c r="R12" s="118"/>
      <c r="S12" s="118"/>
    </row>
    <row r="13" spans="1:26" ht="17.399999999999999" x14ac:dyDescent="0.3">
      <c r="A13" s="69" t="s">
        <v>359</v>
      </c>
      <c r="B13" s="70" t="s">
        <v>360</v>
      </c>
      <c r="C13" s="126">
        <f>SUMIF(FP!J:J,Doklady!$B$1&amp;A13,FP!D:D)</f>
        <v>0</v>
      </c>
      <c r="D13" s="126">
        <f>C13-E13</f>
        <v>0</v>
      </c>
      <c r="E13" s="329">
        <f>SUMIF(K:K,A13,I:I)</f>
        <v>0</v>
      </c>
      <c r="F13" s="330"/>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42">
        <f>SUMIF(K:K,A14,I:I)</f>
        <v>0</v>
      </c>
      <c r="F14" s="343"/>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49" t="s">
        <v>373</v>
      </c>
      <c r="C16" s="350"/>
      <c r="D16" s="350"/>
      <c r="E16" s="350"/>
      <c r="F16" s="350"/>
      <c r="G16" s="350"/>
      <c r="H16" s="351"/>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4" t="s">
        <v>376</v>
      </c>
      <c r="C17" s="344"/>
      <c r="D17" s="344"/>
      <c r="E17" s="344"/>
      <c r="F17" s="344"/>
      <c r="G17" s="344"/>
      <c r="H17" s="344"/>
      <c r="I17" s="73">
        <f>SUMIF(FP!I:I,Doklady!$B$1&amp;A17,FP!D:D)</f>
        <v>145435</v>
      </c>
      <c r="T17" s="86"/>
    </row>
    <row r="18" spans="1:20" x14ac:dyDescent="0.2">
      <c r="A18" s="135" t="s">
        <v>377</v>
      </c>
      <c r="B18" s="344" t="s">
        <v>378</v>
      </c>
      <c r="C18" s="344"/>
      <c r="D18" s="344"/>
      <c r="E18" s="344"/>
      <c r="F18" s="344"/>
      <c r="G18" s="344"/>
      <c r="H18" s="344"/>
      <c r="I18" s="73">
        <f>SUMIF(FP!I:I,Doklady!$B$1&amp;A18,FP!D:D)</f>
        <v>0</v>
      </c>
    </row>
    <row r="19" spans="1:20" x14ac:dyDescent="0.2">
      <c r="A19" s="115" t="s">
        <v>379</v>
      </c>
      <c r="B19" s="344" t="s">
        <v>380</v>
      </c>
      <c r="C19" s="344"/>
      <c r="D19" s="344"/>
      <c r="E19" s="344"/>
      <c r="F19" s="344"/>
      <c r="G19" s="344"/>
      <c r="H19" s="344"/>
      <c r="I19" s="73">
        <f>SUMIF(FP!I:I,Doklady!$B$1&amp;A19,FP!D:D)</f>
        <v>0</v>
      </c>
    </row>
    <row r="20" spans="1:20" x14ac:dyDescent="0.2">
      <c r="A20" s="135" t="s">
        <v>381</v>
      </c>
      <c r="B20" s="333" t="s">
        <v>382</v>
      </c>
      <c r="C20" s="334"/>
      <c r="D20" s="334"/>
      <c r="E20" s="334"/>
      <c r="F20" s="334"/>
      <c r="G20" s="334"/>
      <c r="H20" s="335"/>
      <c r="I20" s="73">
        <f>SUMIF(FP!I:I,Doklady!$B$1&amp;A20,FP!D:D)</f>
        <v>0</v>
      </c>
      <c r="T20" s="86"/>
    </row>
    <row r="21" spans="1:20" x14ac:dyDescent="0.2">
      <c r="A21" s="115" t="s">
        <v>383</v>
      </c>
      <c r="B21" s="333" t="s">
        <v>384</v>
      </c>
      <c r="C21" s="334"/>
      <c r="D21" s="334"/>
      <c r="E21" s="334"/>
      <c r="F21" s="334"/>
      <c r="G21" s="334"/>
      <c r="H21" s="335"/>
      <c r="I21" s="73">
        <f>SUMIF(FP!I:I,Doklady!$B$1&amp;A21,FP!D:D)</f>
        <v>0</v>
      </c>
      <c r="T21" s="86"/>
    </row>
    <row r="22" spans="1:20" x14ac:dyDescent="0.2">
      <c r="A22" s="135" t="s">
        <v>385</v>
      </c>
      <c r="B22" s="352" t="s">
        <v>386</v>
      </c>
      <c r="C22" s="353"/>
      <c r="D22" s="353"/>
      <c r="E22" s="353"/>
      <c r="F22" s="353"/>
      <c r="G22" s="353"/>
      <c r="H22" s="354"/>
      <c r="I22" s="73">
        <f>SUMIF(FP!I:I,Doklady!$B$1&amp;A22,FP!D:D)</f>
        <v>0</v>
      </c>
      <c r="T22" s="86"/>
    </row>
    <row r="23" spans="1:20" x14ac:dyDescent="0.2">
      <c r="A23" s="115" t="s">
        <v>387</v>
      </c>
      <c r="B23" s="333" t="s">
        <v>388</v>
      </c>
      <c r="C23" s="334"/>
      <c r="D23" s="334"/>
      <c r="E23" s="334"/>
      <c r="F23" s="334"/>
      <c r="G23" s="334"/>
      <c r="H23" s="335"/>
      <c r="I23" s="73">
        <f>SUMIF(FP!I:I,Doklady!$B$1&amp;A23,FP!D:D)</f>
        <v>0</v>
      </c>
      <c r="T23" s="86"/>
    </row>
    <row r="24" spans="1:20" x14ac:dyDescent="0.2">
      <c r="A24" s="135" t="s">
        <v>389</v>
      </c>
      <c r="B24" s="333" t="s">
        <v>390</v>
      </c>
      <c r="C24" s="334"/>
      <c r="D24" s="334"/>
      <c r="E24" s="334"/>
      <c r="F24" s="334"/>
      <c r="G24" s="334"/>
      <c r="H24" s="335"/>
      <c r="I24" s="73">
        <f>SUMIF(FP!I:I,Doklady!$B$1&amp;A24,FP!D:D)</f>
        <v>0</v>
      </c>
      <c r="T24" s="86"/>
    </row>
    <row r="25" spans="1:20" x14ac:dyDescent="0.2">
      <c r="A25" s="115" t="s">
        <v>391</v>
      </c>
      <c r="B25" s="345" t="s">
        <v>392</v>
      </c>
      <c r="C25" s="346"/>
      <c r="D25" s="346"/>
      <c r="E25" s="346"/>
      <c r="F25" s="346"/>
      <c r="G25" s="346"/>
      <c r="H25" s="347"/>
      <c r="I25" s="73">
        <f>SUMIF(FP!I:I,Doklady!$B$1&amp;A25,FP!D:D)</f>
        <v>0</v>
      </c>
      <c r="T25" s="86"/>
    </row>
    <row r="26" spans="1:20" x14ac:dyDescent="0.2">
      <c r="A26" s="135" t="s">
        <v>393</v>
      </c>
      <c r="B26" s="333" t="s">
        <v>394</v>
      </c>
      <c r="C26" s="334"/>
      <c r="D26" s="334"/>
      <c r="E26" s="334"/>
      <c r="F26" s="334"/>
      <c r="G26" s="334"/>
      <c r="H26" s="335"/>
      <c r="I26" s="73">
        <f>SUMIF(FP!I:I,Doklady!$B$1&amp;A26,FP!D:D)</f>
        <v>0</v>
      </c>
      <c r="T26" s="86"/>
    </row>
    <row r="27" spans="1:20" x14ac:dyDescent="0.2">
      <c r="A27" s="115" t="s">
        <v>395</v>
      </c>
      <c r="B27" s="333" t="s">
        <v>396</v>
      </c>
      <c r="C27" s="334"/>
      <c r="D27" s="334"/>
      <c r="E27" s="334"/>
      <c r="F27" s="334"/>
      <c r="G27" s="334"/>
      <c r="H27" s="335"/>
      <c r="I27" s="73">
        <f>SUMIF(FP!I:I,Doklady!$B$1&amp;A27,FP!D:D)</f>
        <v>0</v>
      </c>
      <c r="T27" s="86"/>
    </row>
    <row r="28" spans="1:20" x14ac:dyDescent="0.2">
      <c r="A28" s="135" t="s">
        <v>397</v>
      </c>
      <c r="B28" s="333" t="s">
        <v>398</v>
      </c>
      <c r="C28" s="334"/>
      <c r="D28" s="334"/>
      <c r="E28" s="334"/>
      <c r="F28" s="334"/>
      <c r="G28" s="334"/>
      <c r="H28" s="335"/>
      <c r="I28" s="73">
        <f>SUMIF(FP!I:I,Doklady!$B$1&amp;A28,FP!D:D)</f>
        <v>0</v>
      </c>
      <c r="T28" s="86"/>
    </row>
    <row r="29" spans="1:20" x14ac:dyDescent="0.2">
      <c r="A29" s="115" t="s">
        <v>399</v>
      </c>
      <c r="B29" s="333" t="s">
        <v>400</v>
      </c>
      <c r="C29" s="334"/>
      <c r="D29" s="334"/>
      <c r="E29" s="334"/>
      <c r="F29" s="334"/>
      <c r="G29" s="334"/>
      <c r="H29" s="335"/>
      <c r="I29" s="73">
        <f>SUMIF(FP!I:I,Doklady!$B$1&amp;A29,FP!D:D)</f>
        <v>0</v>
      </c>
      <c r="T29" s="86"/>
    </row>
    <row r="30" spans="1:20" hidden="1" x14ac:dyDescent="0.2">
      <c r="A30" s="135" t="s">
        <v>401</v>
      </c>
      <c r="B30" s="333"/>
      <c r="C30" s="334"/>
      <c r="D30" s="334"/>
      <c r="E30" s="334"/>
      <c r="F30" s="334"/>
      <c r="G30" s="334"/>
      <c r="H30" s="335"/>
      <c r="I30" s="73">
        <f>SUMIF(FP!I:I,Doklady!$B$1&amp;A30,FP!D:D)</f>
        <v>0</v>
      </c>
      <c r="T30" s="86"/>
    </row>
    <row r="31" spans="1:20" hidden="1" x14ac:dyDescent="0.2">
      <c r="A31" s="115" t="s">
        <v>402</v>
      </c>
      <c r="B31" s="333"/>
      <c r="C31" s="334"/>
      <c r="D31" s="334"/>
      <c r="E31" s="334"/>
      <c r="F31" s="334"/>
      <c r="G31" s="334"/>
      <c r="H31" s="335"/>
      <c r="I31" s="73">
        <f>SUMIF(FP!I:I,Doklady!$B$1&amp;A31,FP!D:D)</f>
        <v>0</v>
      </c>
      <c r="T31" s="86"/>
    </row>
    <row r="32" spans="1:20" hidden="1" x14ac:dyDescent="0.2">
      <c r="A32" s="135" t="s">
        <v>403</v>
      </c>
      <c r="B32" s="355"/>
      <c r="C32" s="356"/>
      <c r="D32" s="356"/>
      <c r="E32" s="356"/>
      <c r="F32" s="356"/>
      <c r="G32" s="356"/>
      <c r="H32" s="357"/>
      <c r="I32" s="73">
        <f>SUMIF(FP!I:I,Doklady!$B$1&amp;A32,FP!D:D)</f>
        <v>0</v>
      </c>
      <c r="T32" s="86"/>
    </row>
    <row r="33" spans="1:21" hidden="1" x14ac:dyDescent="0.2">
      <c r="A33" s="115" t="s">
        <v>404</v>
      </c>
      <c r="B33" s="355"/>
      <c r="C33" s="356"/>
      <c r="D33" s="356"/>
      <c r="E33" s="356"/>
      <c r="F33" s="356"/>
      <c r="G33" s="356"/>
      <c r="H33" s="357"/>
      <c r="I33" s="73">
        <f>SUMIF(FP!I:I,Doklady!$B$1&amp;A33,FP!D:D)</f>
        <v>0</v>
      </c>
      <c r="T33" s="86"/>
    </row>
    <row r="34" spans="1:21" hidden="1" x14ac:dyDescent="0.2">
      <c r="A34" s="135" t="s">
        <v>405</v>
      </c>
      <c r="B34" s="358"/>
      <c r="C34" s="358"/>
      <c r="D34" s="358"/>
      <c r="E34" s="358"/>
      <c r="F34" s="358"/>
      <c r="G34" s="358"/>
      <c r="H34" s="358"/>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20.399999999999999" x14ac:dyDescent="0.2">
      <c r="A38" s="67" t="s">
        <v>372</v>
      </c>
      <c r="B38" s="67" t="str">
        <f>"Šport "&amp;K40</f>
        <v>Šport športové rybárstvo</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29087</v>
      </c>
      <c r="G39" s="78">
        <f>+MAX(I39-C39-D39-E39-F39-H39,0)</f>
        <v>116348</v>
      </c>
      <c r="H39" s="78">
        <f>+IFERROR(VLOOKUP(K40&amp;" - kapitálové transfery",B$53:C$90,2,0),0)</f>
        <v>0</v>
      </c>
      <c r="I39" s="73">
        <f>SUMIF(FP!K:K,K40,FP!D:D)</f>
        <v>145435</v>
      </c>
      <c r="L39" s="84">
        <f>COUNTIF(FP!N:N,Doklady!B1&amp;"aK")</f>
        <v>0</v>
      </c>
      <c r="T39" s="86"/>
    </row>
    <row r="40" spans="1:21" x14ac:dyDescent="0.2">
      <c r="A40" s="115" t="s">
        <v>375</v>
      </c>
      <c r="B40" s="116" t="s">
        <v>414</v>
      </c>
      <c r="C40" s="78">
        <f>DSUM(Doklady!A103:J10000,"GGG",Spolu!L40:M42)</f>
        <v>280.74</v>
      </c>
      <c r="D40" s="78">
        <f>DSUM(Doklady!A103:J10000,"GGG",Spolu!N40:O42)</f>
        <v>0</v>
      </c>
      <c r="E40" s="78">
        <f>DSUM(Doklady!A103:J10000,"GGG",Spolu!P40:Q42)</f>
        <v>17531.32</v>
      </c>
      <c r="F40" s="78">
        <f>DSUM(Doklady!A103:J10000,"GGG",Spolu!R40:S42)</f>
        <v>6703.68</v>
      </c>
      <c r="G40" s="78">
        <f>DSUM(Doklady!A103:J10000,"GGG",Spolu!T40:U42)-H40</f>
        <v>5970</v>
      </c>
      <c r="H40" s="78">
        <f>+IFERROR(VLOOKUP(K40&amp;" - kapitálové transfery",B$53:D$90,3,0),0)</f>
        <v>0</v>
      </c>
      <c r="I40" s="73">
        <f>+C40+D40+E40+F40+G40+H40</f>
        <v>30485.74</v>
      </c>
      <c r="J40" s="218" t="str">
        <f>+K45</f>
        <v>.</v>
      </c>
      <c r="K40" s="218" t="str">
        <f>IF(L38&gt;0,INDEX(FP!K:K,Doklady!B2),".")</f>
        <v>športové rybárstvo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114949.26</v>
      </c>
      <c r="J41" s="219">
        <f>+K46</f>
        <v>0</v>
      </c>
      <c r="K41" s="219">
        <f>+I41-H41</f>
        <v>114949.26</v>
      </c>
      <c r="L41" s="161" t="str">
        <f>IF(L38&gt;0,"a - "&amp;INDEX(FP!C:C,Doklady!B2),2)</f>
        <v>a - športové rybárstvo - bežné transfery</v>
      </c>
      <c r="M41" s="120">
        <v>1</v>
      </c>
      <c r="N41" s="161" t="str">
        <f>+L41</f>
        <v>a - športové rybárstvo - bežné transfery</v>
      </c>
      <c r="O41" s="120">
        <v>2</v>
      </c>
      <c r="P41" s="161" t="str">
        <f>+L41</f>
        <v>a - športové rybárstvo - bežné transfery</v>
      </c>
      <c r="Q41" s="120">
        <v>3</v>
      </c>
      <c r="R41" s="161" t="str">
        <f>+L41</f>
        <v>a - športové rybárstvo - bežné transfery</v>
      </c>
      <c r="S41" s="120">
        <v>4</v>
      </c>
      <c r="T41" s="161" t="str">
        <f>+L41</f>
        <v>a - športové rybárstvo - bežné transfery</v>
      </c>
      <c r="U41" s="120">
        <v>5</v>
      </c>
    </row>
    <row r="42" spans="1:21" ht="10.5" customHeight="1" x14ac:dyDescent="0.2">
      <c r="A42" s="115" t="s">
        <v>375</v>
      </c>
      <c r="B42" s="116" t="s">
        <v>417</v>
      </c>
      <c r="C42" s="73">
        <f>+C40</f>
        <v>280.74</v>
      </c>
      <c r="D42" s="216">
        <f>+D40</f>
        <v>0</v>
      </c>
      <c r="E42" s="216">
        <f>+E40</f>
        <v>17531.32</v>
      </c>
      <c r="F42" s="216">
        <f>+MIN(F39:F40)</f>
        <v>6703.68</v>
      </c>
      <c r="G42" s="216">
        <f>+MIN(G39+MAX(F39-F40,0)-MAX(E40-E39,0)-MAX(D40-D39,0)-MAX(C40-C39,0),G40)</f>
        <v>5970</v>
      </c>
      <c r="H42" s="216">
        <f>+MIN(H39:H40)</f>
        <v>0</v>
      </c>
      <c r="I42" s="73">
        <f>+C42+D42+E42+MIN(F39:F40)+G42+H42</f>
        <v>30485.74</v>
      </c>
      <c r="J42" s="219">
        <f>+K47</f>
        <v>0</v>
      </c>
      <c r="K42" s="219">
        <f>+I42-H42</f>
        <v>30485.74</v>
      </c>
      <c r="L42" s="161" t="str">
        <f>+SUBSTITUTE(L41,"bežné","kapitálové")</f>
        <v>a - športové rybárstvo - kapitálové transfery</v>
      </c>
      <c r="M42" s="120">
        <v>1</v>
      </c>
      <c r="N42" s="161" t="str">
        <f>+L42</f>
        <v>a - športové rybárstvo - kapitálové transfery</v>
      </c>
      <c r="O42" s="120">
        <v>2</v>
      </c>
      <c r="P42" s="161" t="str">
        <f>+L42</f>
        <v>a - športové rybárstvo - kapitálové transfery</v>
      </c>
      <c r="Q42" s="120">
        <v>3</v>
      </c>
      <c r="R42" s="161" t="str">
        <f>+L42</f>
        <v>a - športové rybárstvo - kapitálové transfery</v>
      </c>
      <c r="S42" s="120">
        <v>4</v>
      </c>
      <c r="T42" s="161" t="str">
        <f>+L42</f>
        <v>a - športové rybárstvo - kapitálové transfery</v>
      </c>
      <c r="U42" s="120">
        <v>5</v>
      </c>
    </row>
    <row r="43" spans="1:21" ht="20.399999999999999"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1"/>
      <c r="B50" s="332"/>
      <c r="C50" s="332"/>
      <c r="D50" s="332"/>
      <c r="E50" s="332"/>
      <c r="F50" s="332"/>
      <c r="G50" s="332"/>
      <c r="H50" s="332"/>
      <c r="I50" s="332"/>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športové rybárstvo - bežné transfery</v>
      </c>
      <c r="C53" s="73">
        <f>IF(A53&lt;&gt;"",INDEX(FP!D:D,Doklady!B$2+(ROW()-53)),"")</f>
        <v>145435</v>
      </c>
      <c r="D53" s="73">
        <f>IF(A53&lt;&gt;"",Doklady!I1-Doklady!J1,"")</f>
        <v>30485.739999999998</v>
      </c>
      <c r="E53" s="73">
        <f>IF(A53&lt;&gt;"",MIN(D53,C53)*Doklady!C1/(1-Doklady!C1),"")</f>
        <v>0</v>
      </c>
      <c r="F53" s="71">
        <f>IF(A53&lt;&gt;"",Doklady!J1,"")</f>
        <v>0</v>
      </c>
      <c r="G53" s="73">
        <f>+IFERROR(HLOOKUP(IF(RIGHT(B53,15)="bežné transfery",LEFT(B53,LEN(B53)-18),0),$J$40:$K$42,3,0),MIN(C53,D53))</f>
        <v>30485.74</v>
      </c>
      <c r="H53" s="71"/>
      <c r="I53" s="73">
        <f>IF(A53&lt;&gt;"",MAX(IF(G53&lt;C53,C53-G53,0)+IF(F53&lt;E53,E53-F53,0),0),0)</f>
        <v>114949.26</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145435</v>
      </c>
      <c r="D130" s="228">
        <f t="shared" ref="D130:I130" si="9">SUM(D53:D129)</f>
        <v>30485.739999999998</v>
      </c>
      <c r="E130" s="228">
        <f t="shared" si="9"/>
        <v>0</v>
      </c>
      <c r="F130" s="228">
        <f t="shared" si="9"/>
        <v>0</v>
      </c>
      <c r="G130" s="228">
        <f t="shared" si="9"/>
        <v>30485.74</v>
      </c>
      <c r="H130" s="228">
        <f t="shared" si="9"/>
        <v>0</v>
      </c>
      <c r="I130" s="228">
        <f t="shared" si="9"/>
        <v>114949.26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48"/>
      <c r="E140" s="348"/>
      <c r="F140" s="348"/>
      <c r="G140" s="348"/>
      <c r="H140" s="348"/>
      <c r="I140" s="348"/>
      <c r="J140" s="85"/>
    </row>
    <row r="141" spans="1:26" ht="68.25" customHeight="1" x14ac:dyDescent="0.25">
      <c r="A141" s="9"/>
      <c r="B141" s="283" t="s">
        <v>434</v>
      </c>
      <c r="C141" s="214"/>
      <c r="D141" s="328" t="s">
        <v>435</v>
      </c>
      <c r="E141" s="328"/>
      <c r="F141" s="328"/>
      <c r="G141" s="328"/>
      <c r="H141" s="328"/>
      <c r="I141" s="328"/>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B126" sqref="B126"/>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športové rybárstvo - bežné transfery</v>
      </c>
      <c r="B1" s="232" t="str">
        <f>INDEX(Adr!A:A,B102+1)</f>
        <v>51118831</v>
      </c>
      <c r="C1" s="233">
        <f>IF(ROW()&lt;=B$3,INDEX(FP!E:E,B$2+ROW()-1),"")</f>
        <v>0</v>
      </c>
      <c r="D1" s="234" t="str">
        <f>IF(ROW()&lt;=B$3,INDEX(FP!F:F,B$2+ROW()-1),"")</f>
        <v>a</v>
      </c>
      <c r="E1" s="234"/>
      <c r="F1" s="234" t="str">
        <f>IF(ROW()&lt;=B$3,INDEX(FP!G:G,B$2+ROW()-1),"")</f>
        <v>026 02</v>
      </c>
      <c r="G1" s="234"/>
      <c r="H1" s="235" t="str">
        <f>IF(ROW()&lt;=B$3,INDEX(FP!C:C,B$2+ROW()-1),"")</f>
        <v>športové rybárstvo - bežné transfery</v>
      </c>
      <c r="I1" s="236">
        <f t="shared" ref="I1:I6" si="0">IF(ROW()&lt;=B$3,SUMIF(A$107:A$10042,A1,I$107:I$10042),"")</f>
        <v>30485.739999999998</v>
      </c>
      <c r="J1" s="236">
        <f t="shared" ref="J1:J32" si="1">IF(ROW()&lt;=B$3,SUMIFS(I$103:I$50042,A$103:A$50042,K1,J$103:J$50042,L1),"")</f>
        <v>0</v>
      </c>
      <c r="K1" s="110" t="str">
        <f>$A1</f>
        <v>a - športové rybárstvo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
      </c>
      <c r="B2" s="237">
        <f>MATCH(B1,FP!A:A,0)</f>
        <v>277</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59" t="s">
        <v>365</v>
      </c>
      <c r="B100" s="359"/>
      <c r="C100" s="359"/>
      <c r="D100" s="359"/>
      <c r="E100" s="359"/>
      <c r="F100" s="359"/>
      <c r="G100" s="359"/>
      <c r="H100" s="359"/>
      <c r="I100" s="361" t="s">
        <v>440</v>
      </c>
      <c r="J100" s="361"/>
      <c r="K100" s="89"/>
    </row>
    <row r="101" spans="1:25" ht="15.6" x14ac:dyDescent="0.3">
      <c r="A101" s="359"/>
      <c r="B101" s="359"/>
      <c r="C101" s="359"/>
      <c r="D101" s="359"/>
      <c r="E101" s="359"/>
      <c r="F101" s="359"/>
      <c r="G101" s="359"/>
      <c r="H101" s="359"/>
      <c r="I101" s="360">
        <v>45740</v>
      </c>
      <c r="J101" s="360"/>
    </row>
    <row r="102" spans="1:25" ht="13.8" x14ac:dyDescent="0.25">
      <c r="A102" s="249" t="s">
        <v>441</v>
      </c>
      <c r="B102" s="250">
        <v>78</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40.799999999999997" x14ac:dyDescent="0.25">
      <c r="A107" s="14" t="s">
        <v>1753</v>
      </c>
      <c r="B107" s="14" t="s">
        <v>1754</v>
      </c>
      <c r="C107" s="14" t="s">
        <v>1755</v>
      </c>
      <c r="D107" s="16">
        <v>45698</v>
      </c>
      <c r="E107" s="16"/>
      <c r="F107" s="14" t="s">
        <v>1756</v>
      </c>
      <c r="G107" s="14" t="s">
        <v>1757</v>
      </c>
      <c r="H107" s="14" t="s">
        <v>1758</v>
      </c>
      <c r="I107" s="15">
        <v>4170</v>
      </c>
      <c r="J107" s="77">
        <v>5</v>
      </c>
      <c r="K107" s="92"/>
    </row>
    <row r="108" spans="1:25" ht="20.399999999999999" x14ac:dyDescent="0.25">
      <c r="A108" s="14" t="s">
        <v>1753</v>
      </c>
      <c r="B108" s="14" t="s">
        <v>1759</v>
      </c>
      <c r="C108" s="14" t="s">
        <v>1760</v>
      </c>
      <c r="D108" s="16">
        <v>45698</v>
      </c>
      <c r="E108" s="16"/>
      <c r="F108" s="14" t="s">
        <v>1761</v>
      </c>
      <c r="G108" s="14" t="s">
        <v>1762</v>
      </c>
      <c r="H108" s="14" t="s">
        <v>1763</v>
      </c>
      <c r="I108" s="15">
        <v>9000</v>
      </c>
      <c r="J108" s="77">
        <v>3</v>
      </c>
      <c r="K108" s="92"/>
    </row>
    <row r="109" spans="1:25" ht="51" x14ac:dyDescent="0.25">
      <c r="A109" s="14" t="s">
        <v>1753</v>
      </c>
      <c r="B109" s="14" t="s">
        <v>1764</v>
      </c>
      <c r="C109" s="14"/>
      <c r="D109" s="16">
        <v>45700</v>
      </c>
      <c r="E109" s="16"/>
      <c r="F109" s="14" t="s">
        <v>1765</v>
      </c>
      <c r="G109" s="14" t="s">
        <v>1766</v>
      </c>
      <c r="H109" s="14" t="s">
        <v>1788</v>
      </c>
      <c r="I109" s="15">
        <v>3236.05</v>
      </c>
      <c r="J109" s="77">
        <v>4</v>
      </c>
      <c r="K109" s="92"/>
    </row>
    <row r="110" spans="1:25" ht="40.799999999999997" x14ac:dyDescent="0.25">
      <c r="A110" s="14" t="s">
        <v>1753</v>
      </c>
      <c r="B110" s="14" t="s">
        <v>1767</v>
      </c>
      <c r="C110" s="14"/>
      <c r="D110" s="16">
        <v>45705</v>
      </c>
      <c r="E110" s="16"/>
      <c r="F110" s="14" t="s">
        <v>1768</v>
      </c>
      <c r="G110" s="14"/>
      <c r="H110" s="14" t="s">
        <v>1769</v>
      </c>
      <c r="I110" s="15">
        <v>127.87</v>
      </c>
      <c r="J110" s="77">
        <v>1</v>
      </c>
      <c r="K110" s="92"/>
    </row>
    <row r="111" spans="1:25" ht="40.799999999999997" x14ac:dyDescent="0.25">
      <c r="A111" s="14" t="s">
        <v>1753</v>
      </c>
      <c r="B111" s="14" t="s">
        <v>1770</v>
      </c>
      <c r="C111" s="14"/>
      <c r="D111" s="16">
        <v>45705</v>
      </c>
      <c r="E111" s="16"/>
      <c r="F111" s="14" t="s">
        <v>1768</v>
      </c>
      <c r="G111" s="14"/>
      <c r="H111" s="14" t="s">
        <v>1771</v>
      </c>
      <c r="I111" s="15">
        <v>152.87</v>
      </c>
      <c r="J111" s="77">
        <v>1</v>
      </c>
      <c r="K111" s="92"/>
    </row>
    <row r="112" spans="1:25" ht="20.399999999999999" x14ac:dyDescent="0.25">
      <c r="A112" s="14" t="s">
        <v>1753</v>
      </c>
      <c r="B112" s="14" t="s">
        <v>1772</v>
      </c>
      <c r="C112" s="14"/>
      <c r="D112" s="16">
        <v>45709</v>
      </c>
      <c r="E112" s="16"/>
      <c r="F112" s="14" t="s">
        <v>1773</v>
      </c>
      <c r="G112" s="14" t="s">
        <v>1774</v>
      </c>
      <c r="H112" s="14" t="s">
        <v>1775</v>
      </c>
      <c r="I112" s="15">
        <v>1500</v>
      </c>
      <c r="J112" s="77">
        <v>3</v>
      </c>
      <c r="K112" s="92"/>
    </row>
    <row r="113" spans="1:11" ht="20.399999999999999" x14ac:dyDescent="0.25">
      <c r="A113" s="14" t="s">
        <v>1753</v>
      </c>
      <c r="B113" s="14" t="s">
        <v>1776</v>
      </c>
      <c r="C113" s="14"/>
      <c r="D113" s="16">
        <v>45709</v>
      </c>
      <c r="E113" s="16"/>
      <c r="F113" s="14" t="s">
        <v>1777</v>
      </c>
      <c r="G113" s="14" t="s">
        <v>1778</v>
      </c>
      <c r="H113" s="14" t="s">
        <v>1779</v>
      </c>
      <c r="I113" s="15">
        <v>1500</v>
      </c>
      <c r="J113" s="77">
        <v>3</v>
      </c>
      <c r="K113" s="92"/>
    </row>
    <row r="114" spans="1:11" ht="30.6" x14ac:dyDescent="0.25">
      <c r="A114" s="14" t="s">
        <v>1753</v>
      </c>
      <c r="B114" s="14" t="s">
        <v>1780</v>
      </c>
      <c r="C114" s="14"/>
      <c r="D114" s="16">
        <v>45667</v>
      </c>
      <c r="E114" s="16">
        <v>45712</v>
      </c>
      <c r="F114" s="14" t="s">
        <v>1781</v>
      </c>
      <c r="G114" s="14" t="s">
        <v>1782</v>
      </c>
      <c r="H114" s="14" t="s">
        <v>1783</v>
      </c>
      <c r="I114" s="15">
        <v>1800</v>
      </c>
      <c r="J114" s="77">
        <v>5</v>
      </c>
      <c r="K114" s="92"/>
    </row>
    <row r="115" spans="1:11" ht="20.399999999999999" x14ac:dyDescent="0.25">
      <c r="A115" s="14" t="s">
        <v>1753</v>
      </c>
      <c r="B115" s="14" t="s">
        <v>1784</v>
      </c>
      <c r="C115" s="14"/>
      <c r="D115" s="16">
        <v>45714</v>
      </c>
      <c r="E115" s="16"/>
      <c r="F115" s="14" t="s">
        <v>1785</v>
      </c>
      <c r="G115" s="14" t="s">
        <v>1774</v>
      </c>
      <c r="H115" s="14" t="s">
        <v>1775</v>
      </c>
      <c r="I115" s="15">
        <v>1500</v>
      </c>
      <c r="J115" s="77">
        <v>3</v>
      </c>
      <c r="K115" s="92"/>
    </row>
    <row r="116" spans="1:11" ht="61.2" x14ac:dyDescent="0.25">
      <c r="A116" s="14" t="s">
        <v>1753</v>
      </c>
      <c r="B116" s="14" t="s">
        <v>1796</v>
      </c>
      <c r="C116" s="14"/>
      <c r="D116" s="16">
        <v>45723</v>
      </c>
      <c r="E116" s="16"/>
      <c r="F116" s="14" t="s">
        <v>1786</v>
      </c>
      <c r="G116" s="14" t="s">
        <v>1766</v>
      </c>
      <c r="H116" s="14" t="s">
        <v>1787</v>
      </c>
      <c r="I116" s="15">
        <v>3467.63</v>
      </c>
      <c r="J116" s="77">
        <v>4</v>
      </c>
      <c r="K116" s="92"/>
    </row>
    <row r="117" spans="1:11" ht="13.2" x14ac:dyDescent="0.25">
      <c r="A117" s="14" t="s">
        <v>1753</v>
      </c>
      <c r="B117" s="14" t="s">
        <v>1797</v>
      </c>
      <c r="C117" s="14" t="s">
        <v>1793</v>
      </c>
      <c r="D117" s="16">
        <v>45734</v>
      </c>
      <c r="E117" s="16"/>
      <c r="F117" s="14" t="s">
        <v>1789</v>
      </c>
      <c r="G117" s="14" t="s">
        <v>1795</v>
      </c>
      <c r="H117" s="14" t="s">
        <v>1790</v>
      </c>
      <c r="I117" s="15">
        <v>1487.32</v>
      </c>
      <c r="J117" s="77">
        <v>3</v>
      </c>
      <c r="K117" s="92"/>
    </row>
    <row r="118" spans="1:11" ht="20.399999999999999" x14ac:dyDescent="0.25">
      <c r="A118" s="14" t="s">
        <v>1753</v>
      </c>
      <c r="B118" s="14" t="s">
        <v>1798</v>
      </c>
      <c r="C118" s="14" t="s">
        <v>1794</v>
      </c>
      <c r="D118" s="16">
        <v>45743</v>
      </c>
      <c r="E118" s="16"/>
      <c r="F118" s="14" t="s">
        <v>1791</v>
      </c>
      <c r="G118" s="14" t="s">
        <v>1778</v>
      </c>
      <c r="H118" s="14" t="s">
        <v>1792</v>
      </c>
      <c r="I118" s="15">
        <v>2544</v>
      </c>
      <c r="J118" s="77">
        <v>3</v>
      </c>
      <c r="K118" s="92"/>
    </row>
    <row r="119" spans="1:11" ht="13.2" x14ac:dyDescent="0.25">
      <c r="A119" s="14"/>
      <c r="B119" s="14"/>
      <c r="C119" s="14"/>
      <c r="D119" s="16"/>
      <c r="E119" s="16"/>
      <c r="F119" s="14"/>
      <c r="G119" s="14"/>
      <c r="H119" s="14"/>
      <c r="I119" s="15"/>
      <c r="J119" s="77"/>
      <c r="K119" s="92"/>
    </row>
    <row r="120" spans="1:11" ht="13.2" x14ac:dyDescent="0.25">
      <c r="A120" s="14"/>
      <c r="B120" s="14"/>
      <c r="C120" s="14"/>
      <c r="D120" s="16"/>
      <c r="E120" s="16"/>
      <c r="F120" s="14"/>
      <c r="G120" s="14"/>
      <c r="H120" s="14"/>
      <c r="I120" s="15"/>
      <c r="J120" s="77"/>
      <c r="K120" s="92"/>
    </row>
    <row r="121" spans="1:11" ht="13.2" x14ac:dyDescent="0.25">
      <c r="A121" s="14"/>
      <c r="B121" s="14"/>
      <c r="C121" s="14"/>
      <c r="D121" s="16"/>
      <c r="E121" s="16"/>
      <c r="F121" s="14"/>
      <c r="G121" s="14"/>
      <c r="H121" s="14"/>
      <c r="I121" s="15"/>
      <c r="J121" s="77"/>
      <c r="K121" s="92"/>
    </row>
    <row r="122" spans="1:11" ht="13.2" x14ac:dyDescent="0.25">
      <c r="A122" s="14"/>
      <c r="B122" s="14"/>
      <c r="C122" s="14"/>
      <c r="D122" s="16"/>
      <c r="E122" s="16"/>
      <c r="F122" s="14"/>
      <c r="G122" s="14"/>
      <c r="H122" s="14"/>
      <c r="I122" s="15"/>
      <c r="J122" s="77"/>
      <c r="K122" s="92"/>
    </row>
    <row r="123" spans="1:11" ht="13.2" x14ac:dyDescent="0.25">
      <c r="A123" s="14"/>
      <c r="B123" s="14"/>
      <c r="C123" s="14"/>
      <c r="D123" s="16"/>
      <c r="E123" s="16"/>
      <c r="F123" s="14"/>
      <c r="G123" s="14"/>
      <c r="H123" s="14"/>
      <c r="I123" s="15"/>
      <c r="J123" s="77"/>
      <c r="K123" s="92"/>
    </row>
    <row r="124" spans="1:11" ht="13.2" x14ac:dyDescent="0.25">
      <c r="A124" s="14"/>
      <c r="B124" s="14"/>
      <c r="C124" s="14"/>
      <c r="D124" s="16"/>
      <c r="E124" s="16"/>
      <c r="F124" s="14"/>
      <c r="G124" s="14"/>
      <c r="H124" s="14"/>
      <c r="I124" s="15"/>
      <c r="J124" s="77"/>
      <c r="K124" s="92"/>
    </row>
    <row r="125" spans="1:11" ht="13.2" x14ac:dyDescent="0.25">
      <c r="A125" s="14"/>
      <c r="B125" s="14"/>
      <c r="C125" s="14"/>
      <c r="D125" s="16"/>
      <c r="E125" s="16"/>
      <c r="F125" s="14"/>
      <c r="G125" s="14"/>
      <c r="H125" s="14"/>
      <c r="I125" s="15"/>
      <c r="J125" s="77"/>
      <c r="K125" s="92"/>
    </row>
    <row r="126" spans="1:11" ht="13.2" x14ac:dyDescent="0.25">
      <c r="A126" s="14"/>
      <c r="B126" s="14"/>
      <c r="C126" s="14"/>
      <c r="D126" s="16"/>
      <c r="E126" s="16"/>
      <c r="F126" s="14"/>
      <c r="G126" s="14"/>
      <c r="H126" s="14"/>
      <c r="I126" s="15"/>
      <c r="J126" s="77"/>
      <c r="K126" s="92"/>
    </row>
    <row r="127" spans="1:11" ht="13.2" x14ac:dyDescent="0.25">
      <c r="A127" s="14"/>
      <c r="B127" s="14"/>
      <c r="C127" s="14"/>
      <c r="D127" s="16"/>
      <c r="E127" s="16"/>
      <c r="F127" s="14"/>
      <c r="G127" s="14"/>
      <c r="H127" s="14"/>
      <c r="I127" s="15"/>
      <c r="J127" s="77"/>
      <c r="K127" s="92"/>
    </row>
    <row r="128" spans="1:11" ht="13.2" x14ac:dyDescent="0.25">
      <c r="A128" s="14"/>
      <c r="B128" s="14"/>
      <c r="C128" s="14"/>
      <c r="D128" s="16"/>
      <c r="E128" s="16"/>
      <c r="F128" s="14"/>
      <c r="G128" s="14"/>
      <c r="H128" s="14"/>
      <c r="I128" s="15"/>
      <c r="J128" s="77"/>
      <c r="K128" s="92"/>
    </row>
    <row r="129" spans="1:11" ht="13.2" x14ac:dyDescent="0.25">
      <c r="A129" s="14"/>
      <c r="B129" s="14"/>
      <c r="C129" s="14"/>
      <c r="D129" s="16"/>
      <c r="E129" s="16"/>
      <c r="F129" s="14"/>
      <c r="G129" s="14"/>
      <c r="H129" s="14"/>
      <c r="I129" s="15"/>
      <c r="J129" s="77"/>
      <c r="K129" s="92"/>
    </row>
    <row r="130" spans="1:11" ht="13.2" x14ac:dyDescent="0.25">
      <c r="A130" s="14"/>
      <c r="B130" s="14"/>
      <c r="C130" s="14"/>
      <c r="D130" s="16"/>
      <c r="E130" s="16"/>
      <c r="F130" s="14"/>
      <c r="G130" s="14"/>
      <c r="H130" s="14"/>
      <c r="I130" s="15"/>
      <c r="J130" s="77"/>
      <c r="K130" s="92"/>
    </row>
    <row r="131" spans="1:11" ht="13.2" x14ac:dyDescent="0.25">
      <c r="A131" s="14"/>
      <c r="B131" s="14"/>
      <c r="C131" s="14"/>
      <c r="D131" s="16"/>
      <c r="E131" s="16"/>
      <c r="F131" s="14"/>
      <c r="G131" s="14"/>
      <c r="H131" s="14"/>
      <c r="I131" s="15"/>
      <c r="J131" s="77"/>
      <c r="K131" s="92"/>
    </row>
    <row r="132" spans="1:11" ht="13.2" x14ac:dyDescent="0.25">
      <c r="A132" s="14"/>
      <c r="B132" s="14"/>
      <c r="C132" s="14"/>
      <c r="D132" s="16"/>
      <c r="E132" s="16"/>
      <c r="F132" s="14"/>
      <c r="G132" s="14"/>
      <c r="H132" s="14"/>
      <c r="I132" s="15"/>
      <c r="J132" s="77"/>
      <c r="K132" s="92"/>
    </row>
    <row r="133" spans="1:11" ht="13.2" x14ac:dyDescent="0.25">
      <c r="A133" s="14"/>
      <c r="B133" s="14"/>
      <c r="C133" s="14"/>
      <c r="D133" s="16"/>
      <c r="E133" s="16"/>
      <c r="F133" s="14"/>
      <c r="G133" s="14"/>
      <c r="H133" s="14"/>
      <c r="I133" s="15"/>
      <c r="J133" s="77"/>
      <c r="K133" s="92"/>
    </row>
    <row r="134" spans="1:11" ht="13.2" x14ac:dyDescent="0.25">
      <c r="A134" s="14"/>
      <c r="B134" s="14"/>
      <c r="C134" s="14"/>
      <c r="D134" s="16"/>
      <c r="E134" s="16"/>
      <c r="F134" s="14"/>
      <c r="G134" s="14"/>
      <c r="H134" s="14"/>
      <c r="I134" s="15"/>
      <c r="J134" s="77"/>
      <c r="K134" s="92"/>
    </row>
    <row r="135" spans="1:11" ht="13.2" x14ac:dyDescent="0.25">
      <c r="A135" s="14"/>
      <c r="B135" s="14"/>
      <c r="C135" s="14"/>
      <c r="D135" s="16"/>
      <c r="E135" s="16"/>
      <c r="F135" s="14"/>
      <c r="G135" s="14"/>
      <c r="H135" s="14"/>
      <c r="I135" s="15"/>
      <c r="J135" s="77"/>
      <c r="K135" s="92"/>
    </row>
    <row r="136" spans="1:11" ht="13.2" x14ac:dyDescent="0.25">
      <c r="A136" s="14"/>
      <c r="B136" s="14"/>
      <c r="C136" s="14"/>
      <c r="D136" s="16"/>
      <c r="E136" s="16"/>
      <c r="F136" s="14"/>
      <c r="G136" s="14"/>
      <c r="H136" s="14"/>
      <c r="I136" s="15"/>
      <c r="J136" s="77"/>
      <c r="K136" s="92"/>
    </row>
    <row r="137" spans="1:11" ht="13.2" x14ac:dyDescent="0.25">
      <c r="A137" s="14"/>
      <c r="B137" s="14"/>
      <c r="C137" s="14"/>
      <c r="D137" s="16"/>
      <c r="E137" s="16"/>
      <c r="F137" s="14"/>
      <c r="G137" s="14"/>
      <c r="H137" s="14"/>
      <c r="I137" s="15"/>
      <c r="J137" s="77"/>
      <c r="K137" s="92"/>
    </row>
    <row r="138" spans="1:11" ht="13.2" x14ac:dyDescent="0.25">
      <c r="A138" s="14"/>
      <c r="B138" s="14"/>
      <c r="C138" s="14"/>
      <c r="D138" s="16"/>
      <c r="E138" s="16"/>
      <c r="F138" s="14"/>
      <c r="G138" s="14"/>
      <c r="H138" s="14"/>
      <c r="I138" s="15"/>
      <c r="J138" s="77"/>
      <c r="K138" s="92"/>
    </row>
    <row r="139" spans="1:11" ht="13.2" x14ac:dyDescent="0.25">
      <c r="A139" s="14"/>
      <c r="B139" s="14"/>
      <c r="C139" s="14"/>
      <c r="D139" s="16"/>
      <c r="E139" s="16"/>
      <c r="F139" s="14"/>
      <c r="G139" s="14"/>
      <c r="H139" s="14"/>
      <c r="I139" s="15"/>
      <c r="J139" s="77"/>
      <c r="K139" s="92"/>
    </row>
    <row r="140" spans="1:11" ht="13.2" x14ac:dyDescent="0.25">
      <c r="A140" s="14"/>
      <c r="B140" s="14"/>
      <c r="C140" s="14"/>
      <c r="D140" s="16"/>
      <c r="E140" s="16"/>
      <c r="F140" s="14"/>
      <c r="G140" s="14"/>
      <c r="H140" s="14"/>
      <c r="I140" s="15"/>
      <c r="J140" s="77"/>
      <c r="K140" s="92"/>
    </row>
    <row r="141" spans="1:11" ht="13.2" x14ac:dyDescent="0.25">
      <c r="A141" s="14"/>
      <c r="B141" s="14"/>
      <c r="C141" s="14"/>
      <c r="D141" s="16"/>
      <c r="E141" s="16"/>
      <c r="F141" s="14"/>
      <c r="G141" s="14"/>
      <c r="H141" s="14"/>
      <c r="I141" s="15"/>
      <c r="J141" s="77"/>
      <c r="K141" s="92"/>
    </row>
    <row r="142" spans="1:11" ht="13.2" x14ac:dyDescent="0.25">
      <c r="A142" s="14"/>
      <c r="B142" s="14"/>
      <c r="C142" s="14"/>
      <c r="D142" s="16"/>
      <c r="E142" s="16"/>
      <c r="F142" s="14"/>
      <c r="G142" s="14"/>
      <c r="H142" s="14"/>
      <c r="I142" s="15"/>
      <c r="J142" s="77"/>
      <c r="K142" s="92"/>
    </row>
    <row r="143" spans="1:11" ht="13.2" x14ac:dyDescent="0.25">
      <c r="A143" s="14"/>
      <c r="B143" s="14"/>
      <c r="C143" s="14"/>
      <c r="D143" s="16"/>
      <c r="E143" s="16"/>
      <c r="F143" s="14"/>
      <c r="G143" s="14"/>
      <c r="H143" s="14"/>
      <c r="I143" s="15"/>
      <c r="J143" s="77"/>
      <c r="K143" s="92"/>
    </row>
    <row r="144" spans="1:11" ht="13.2" x14ac:dyDescent="0.25">
      <c r="A144" s="14"/>
      <c r="B144" s="14"/>
      <c r="C144" s="14"/>
      <c r="D144" s="16"/>
      <c r="E144" s="16"/>
      <c r="F144" s="14"/>
      <c r="G144" s="14"/>
      <c r="H144" s="14"/>
      <c r="I144" s="15"/>
      <c r="J144" s="77"/>
      <c r="K144" s="92"/>
    </row>
    <row r="145" spans="1:11" ht="13.2" x14ac:dyDescent="0.25">
      <c r="A145" s="14"/>
      <c r="B145" s="14"/>
      <c r="C145" s="14"/>
      <c r="D145" s="16"/>
      <c r="E145" s="16"/>
      <c r="F145" s="14"/>
      <c r="G145" s="14"/>
      <c r="H145" s="14"/>
      <c r="I145" s="15"/>
      <c r="J145" s="77"/>
      <c r="K145" s="92"/>
    </row>
    <row r="146" spans="1:11" ht="13.2" x14ac:dyDescent="0.25">
      <c r="A146" s="14"/>
      <c r="B146" s="14"/>
      <c r="C146" s="14"/>
      <c r="D146" s="16"/>
      <c r="E146" s="16"/>
      <c r="F146" s="14"/>
      <c r="G146" s="14"/>
      <c r="H146" s="14"/>
      <c r="I146" s="15"/>
      <c r="J146" s="77"/>
      <c r="K146" s="92"/>
    </row>
    <row r="147" spans="1:11" ht="13.2" x14ac:dyDescent="0.25">
      <c r="A147" s="14"/>
      <c r="B147" s="14"/>
      <c r="C147" s="14"/>
      <c r="D147" s="16"/>
      <c r="E147" s="16"/>
      <c r="F147" s="14"/>
      <c r="G147" s="14"/>
      <c r="H147" s="14"/>
      <c r="I147" s="15"/>
      <c r="J147" s="77"/>
      <c r="K147" s="92"/>
    </row>
    <row r="148" spans="1:11" ht="13.2" x14ac:dyDescent="0.25">
      <c r="A148" s="14"/>
      <c r="B148" s="14"/>
      <c r="C148" s="14"/>
      <c r="D148" s="16"/>
      <c r="E148" s="16"/>
      <c r="F148" s="14"/>
      <c r="G148" s="14"/>
      <c r="H148" s="14"/>
      <c r="I148" s="15"/>
      <c r="J148" s="77"/>
      <c r="K148" s="92"/>
    </row>
    <row r="149" spans="1:11" ht="13.2" x14ac:dyDescent="0.25">
      <c r="A149" s="14"/>
      <c r="B149" s="14"/>
      <c r="C149" s="14"/>
      <c r="D149" s="16"/>
      <c r="E149" s="16"/>
      <c r="F149" s="14"/>
      <c r="G149" s="14"/>
      <c r="H149" s="14"/>
      <c r="I149" s="15"/>
      <c r="J149" s="77"/>
      <c r="K149" s="92"/>
    </row>
    <row r="150" spans="1:11" ht="13.2" x14ac:dyDescent="0.25">
      <c r="A150" s="14"/>
      <c r="B150" s="14"/>
      <c r="C150" s="14"/>
      <c r="D150" s="16"/>
      <c r="E150" s="16"/>
      <c r="F150" s="14"/>
      <c r="G150" s="14"/>
      <c r="H150" s="14"/>
      <c r="I150" s="15"/>
      <c r="J150" s="77"/>
      <c r="K150" s="92"/>
    </row>
    <row r="151" spans="1:11" ht="13.2" x14ac:dyDescent="0.25">
      <c r="A151" s="14"/>
      <c r="B151" s="14"/>
      <c r="C151" s="14"/>
      <c r="D151" s="16"/>
      <c r="E151" s="16"/>
      <c r="F151" s="14"/>
      <c r="G151" s="14"/>
      <c r="H151" s="14"/>
      <c r="I151" s="15"/>
      <c r="J151" s="77"/>
      <c r="K151" s="92"/>
    </row>
    <row r="152" spans="1:11" ht="13.2" x14ac:dyDescent="0.25">
      <c r="A152" s="14"/>
      <c r="B152" s="14"/>
      <c r="C152" s="14"/>
      <c r="D152" s="16"/>
      <c r="E152" s="16"/>
      <c r="F152" s="14"/>
      <c r="G152" s="14"/>
      <c r="H152" s="14"/>
      <c r="I152" s="15"/>
      <c r="J152" s="77"/>
      <c r="K152" s="92"/>
    </row>
    <row r="153" spans="1:11" ht="13.2" x14ac:dyDescent="0.25">
      <c r="A153" s="14"/>
      <c r="B153" s="14"/>
      <c r="C153" s="14"/>
      <c r="D153" s="16"/>
      <c r="E153" s="16"/>
      <c r="F153" s="14"/>
      <c r="G153" s="14"/>
      <c r="H153" s="14"/>
      <c r="I153" s="15"/>
      <c r="J153" s="77"/>
      <c r="K153" s="92"/>
    </row>
    <row r="154" spans="1:11" ht="13.2" x14ac:dyDescent="0.25">
      <c r="A154" s="14"/>
      <c r="B154" s="14"/>
      <c r="C154" s="14"/>
      <c r="D154" s="16"/>
      <c r="E154" s="16"/>
      <c r="F154" s="14"/>
      <c r="G154" s="14"/>
      <c r="H154" s="14"/>
      <c r="I154" s="15"/>
      <c r="J154" s="77"/>
      <c r="K154" s="92"/>
    </row>
    <row r="155" spans="1:11" ht="13.2" x14ac:dyDescent="0.25">
      <c r="A155" s="14"/>
      <c r="B155" s="14"/>
      <c r="C155" s="14"/>
      <c r="D155" s="16"/>
      <c r="E155" s="16"/>
      <c r="F155" s="14"/>
      <c r="G155" s="14"/>
      <c r="H155" s="14"/>
      <c r="I155" s="15"/>
      <c r="J155" s="77"/>
      <c r="K155" s="92"/>
    </row>
    <row r="156" spans="1:11" ht="13.2" x14ac:dyDescent="0.25">
      <c r="A156" s="14"/>
      <c r="B156" s="14"/>
      <c r="C156" s="14"/>
      <c r="D156" s="16"/>
      <c r="E156" s="16"/>
      <c r="F156" s="14"/>
      <c r="G156" s="14"/>
      <c r="H156" s="14"/>
      <c r="I156" s="15"/>
      <c r="J156" s="77"/>
      <c r="K156" s="92"/>
    </row>
    <row r="157" spans="1:11" ht="13.2" x14ac:dyDescent="0.25">
      <c r="A157" s="14"/>
      <c r="B157" s="14"/>
      <c r="C157" s="14"/>
      <c r="D157" s="16"/>
      <c r="E157" s="16"/>
      <c r="F157" s="14"/>
      <c r="G157" s="14"/>
      <c r="H157" s="14"/>
      <c r="I157" s="15"/>
      <c r="J157" s="77"/>
      <c r="K157" s="92"/>
    </row>
    <row r="158" spans="1:11" ht="13.2" x14ac:dyDescent="0.25">
      <c r="A158" s="14"/>
      <c r="B158" s="14"/>
      <c r="C158" s="14"/>
      <c r="D158" s="16"/>
      <c r="E158" s="16"/>
      <c r="F158" s="14"/>
      <c r="G158" s="14"/>
      <c r="H158" s="14"/>
      <c r="I158" s="15"/>
      <c r="J158" s="77"/>
      <c r="K158" s="92"/>
    </row>
    <row r="159" spans="1:11" ht="13.2" x14ac:dyDescent="0.25">
      <c r="A159" s="14"/>
      <c r="B159" s="14"/>
      <c r="C159" s="14"/>
      <c r="D159" s="16"/>
      <c r="E159" s="16"/>
      <c r="F159" s="14"/>
      <c r="G159" s="14"/>
      <c r="H159" s="14"/>
      <c r="I159" s="15"/>
      <c r="J159" s="77"/>
      <c r="K159" s="92"/>
    </row>
    <row r="160" spans="1:11" ht="13.2" x14ac:dyDescent="0.25">
      <c r="A160" s="14"/>
      <c r="B160" s="14"/>
      <c r="C160" s="14"/>
      <c r="D160" s="16"/>
      <c r="E160" s="16"/>
      <c r="F160" s="14"/>
      <c r="G160" s="14"/>
      <c r="H160" s="14"/>
      <c r="I160" s="15"/>
      <c r="J160" s="77"/>
      <c r="K160" s="92"/>
    </row>
    <row r="161" spans="1:11" ht="13.2" x14ac:dyDescent="0.25">
      <c r="A161" s="14"/>
      <c r="B161" s="14"/>
      <c r="C161" s="14"/>
      <c r="D161" s="16"/>
      <c r="E161" s="16"/>
      <c r="F161" s="14"/>
      <c r="G161" s="14"/>
      <c r="H161" s="14"/>
      <c r="I161" s="15"/>
      <c r="J161" s="77"/>
      <c r="K161" s="92"/>
    </row>
    <row r="162" spans="1:11" ht="13.2" x14ac:dyDescent="0.25">
      <c r="A162" s="14"/>
      <c r="B162" s="14"/>
      <c r="C162" s="14"/>
      <c r="D162" s="16"/>
      <c r="E162" s="16"/>
      <c r="F162" s="14"/>
      <c r="G162" s="14"/>
      <c r="H162" s="14"/>
      <c r="I162" s="15"/>
      <c r="J162" s="77"/>
      <c r="K162" s="92"/>
    </row>
    <row r="163" spans="1:11" ht="13.2" x14ac:dyDescent="0.25">
      <c r="A163" s="14"/>
      <c r="B163" s="14"/>
      <c r="C163" s="14"/>
      <c r="D163" s="16"/>
      <c r="E163" s="16"/>
      <c r="F163" s="14"/>
      <c r="G163" s="14"/>
      <c r="H163" s="14"/>
      <c r="I163" s="15"/>
      <c r="J163" s="77"/>
      <c r="K163" s="92"/>
    </row>
    <row r="164" spans="1:11" ht="13.2" x14ac:dyDescent="0.25">
      <c r="A164" s="14"/>
      <c r="B164" s="14"/>
      <c r="C164" s="14"/>
      <c r="D164" s="16"/>
      <c r="E164" s="16"/>
      <c r="F164" s="14"/>
      <c r="G164" s="14"/>
      <c r="H164" s="14"/>
      <c r="I164" s="15"/>
      <c r="J164" s="77"/>
      <c r="K164" s="92"/>
    </row>
    <row r="165" spans="1:11" ht="13.2" x14ac:dyDescent="0.25">
      <c r="A165" s="14"/>
      <c r="B165" s="14"/>
      <c r="C165" s="14"/>
      <c r="D165" s="16"/>
      <c r="E165" s="16"/>
      <c r="F165" s="14"/>
      <c r="G165" s="14"/>
      <c r="H165" s="14"/>
      <c r="I165" s="15"/>
      <c r="J165" s="77"/>
      <c r="K165" s="92"/>
    </row>
    <row r="166" spans="1:11" ht="13.2" x14ac:dyDescent="0.25">
      <c r="A166" s="14"/>
      <c r="B166" s="14"/>
      <c r="C166" s="14"/>
      <c r="D166" s="16"/>
      <c r="E166" s="16"/>
      <c r="F166" s="14"/>
      <c r="G166" s="14"/>
      <c r="H166" s="14"/>
      <c r="I166" s="15"/>
      <c r="J166" s="77"/>
      <c r="K166" s="92"/>
    </row>
    <row r="167" spans="1:11" ht="13.2" x14ac:dyDescent="0.25">
      <c r="A167" s="14"/>
      <c r="B167" s="14"/>
      <c r="C167" s="14"/>
      <c r="D167" s="16"/>
      <c r="E167" s="16"/>
      <c r="F167" s="14"/>
      <c r="G167" s="14"/>
      <c r="H167" s="14"/>
      <c r="I167" s="15"/>
      <c r="J167" s="77"/>
      <c r="K167" s="92"/>
    </row>
    <row r="168" spans="1:11" ht="13.2" x14ac:dyDescent="0.25">
      <c r="A168" s="14"/>
      <c r="B168" s="14"/>
      <c r="C168" s="14"/>
      <c r="D168" s="16"/>
      <c r="E168" s="16"/>
      <c r="F168" s="14"/>
      <c r="G168" s="14"/>
      <c r="H168" s="14"/>
      <c r="I168" s="15"/>
      <c r="J168" s="77"/>
      <c r="K168" s="92"/>
    </row>
    <row r="169" spans="1:11" ht="13.2" x14ac:dyDescent="0.25">
      <c r="A169" s="14"/>
      <c r="B169" s="14"/>
      <c r="C169" s="14"/>
      <c r="D169" s="16"/>
      <c r="E169" s="16"/>
      <c r="F169" s="14"/>
      <c r="G169" s="14"/>
      <c r="H169" s="14"/>
      <c r="I169" s="15"/>
      <c r="J169" s="77"/>
      <c r="K169" s="92"/>
    </row>
    <row r="170" spans="1:11" ht="13.2" x14ac:dyDescent="0.25">
      <c r="A170" s="14"/>
      <c r="B170" s="14"/>
      <c r="C170" s="14"/>
      <c r="D170" s="16"/>
      <c r="E170" s="16"/>
      <c r="F170" s="14"/>
      <c r="G170" s="14"/>
      <c r="H170" s="14"/>
      <c r="I170" s="15"/>
      <c r="J170" s="77"/>
      <c r="K170" s="92"/>
    </row>
    <row r="171" spans="1:11" ht="13.2" x14ac:dyDescent="0.25">
      <c r="A171" s="14"/>
      <c r="B171" s="14"/>
      <c r="C171" s="14"/>
      <c r="D171" s="16"/>
      <c r="E171" s="16"/>
      <c r="F171" s="14"/>
      <c r="G171" s="14"/>
      <c r="H171" s="14"/>
      <c r="I171" s="15"/>
      <c r="J171" s="77"/>
      <c r="K171" s="92"/>
    </row>
    <row r="172" spans="1:11" ht="13.2" x14ac:dyDescent="0.25">
      <c r="A172" s="14"/>
      <c r="B172" s="14"/>
      <c r="C172" s="14"/>
      <c r="D172" s="16"/>
      <c r="E172" s="16"/>
      <c r="F172" s="14"/>
      <c r="G172" s="14"/>
      <c r="H172" s="14"/>
      <c r="I172" s="15"/>
      <c r="J172" s="77"/>
      <c r="K172" s="92"/>
    </row>
    <row r="173" spans="1:11" ht="13.2" x14ac:dyDescent="0.25">
      <c r="A173" s="14"/>
      <c r="B173" s="14"/>
      <c r="C173" s="14"/>
      <c r="D173" s="16"/>
      <c r="E173" s="16"/>
      <c r="F173" s="14"/>
      <c r="G173" s="14"/>
      <c r="H173" s="14"/>
      <c r="I173" s="15"/>
      <c r="J173" s="77"/>
      <c r="K173" s="92"/>
    </row>
    <row r="174" spans="1:11" ht="13.2" x14ac:dyDescent="0.25">
      <c r="A174" s="14"/>
      <c r="B174" s="14"/>
      <c r="C174" s="14"/>
      <c r="D174" s="16"/>
      <c r="E174" s="16"/>
      <c r="F174" s="14"/>
      <c r="G174" s="14"/>
      <c r="H174" s="14"/>
      <c r="I174" s="15"/>
      <c r="J174" s="77"/>
      <c r="K174" s="92"/>
    </row>
    <row r="175" spans="1:11" ht="13.2" x14ac:dyDescent="0.25">
      <c r="A175" s="14"/>
      <c r="B175" s="14"/>
      <c r="C175" s="14"/>
      <c r="D175" s="16"/>
      <c r="E175" s="16"/>
      <c r="F175" s="14"/>
      <c r="G175" s="14"/>
      <c r="H175" s="14"/>
      <c r="I175" s="15"/>
      <c r="J175" s="77"/>
      <c r="K175" s="92"/>
    </row>
    <row r="176" spans="1:11" ht="13.2" x14ac:dyDescent="0.25">
      <c r="A176" s="14"/>
      <c r="B176" s="14"/>
      <c r="C176" s="14"/>
      <c r="D176" s="16"/>
      <c r="E176" s="16"/>
      <c r="F176" s="14"/>
      <c r="G176" s="14"/>
      <c r="H176" s="14"/>
      <c r="I176" s="15"/>
      <c r="J176" s="77"/>
      <c r="K176" s="92"/>
    </row>
    <row r="177" spans="1:11" ht="13.2" x14ac:dyDescent="0.25">
      <c r="A177" s="14"/>
      <c r="B177" s="14"/>
      <c r="C177" s="14"/>
      <c r="D177" s="16"/>
      <c r="E177" s="16"/>
      <c r="F177" s="14"/>
      <c r="G177" s="14"/>
      <c r="H177" s="14"/>
      <c r="I177" s="15"/>
      <c r="J177" s="77"/>
      <c r="K177" s="92"/>
    </row>
    <row r="178" spans="1:11" ht="13.2" x14ac:dyDescent="0.25">
      <c r="A178" s="14"/>
      <c r="B178" s="14"/>
      <c r="C178" s="14"/>
      <c r="D178" s="16"/>
      <c r="E178" s="16"/>
      <c r="F178" s="14"/>
      <c r="G178" s="14"/>
      <c r="H178" s="14"/>
      <c r="I178" s="15"/>
      <c r="J178" s="77"/>
      <c r="K178" s="92"/>
    </row>
    <row r="179" spans="1:11" ht="13.2" x14ac:dyDescent="0.25">
      <c r="A179" s="14"/>
      <c r="B179" s="14"/>
      <c r="C179" s="14"/>
      <c r="D179" s="16"/>
      <c r="E179" s="16"/>
      <c r="F179" s="14"/>
      <c r="G179" s="14"/>
      <c r="H179" s="14"/>
      <c r="I179" s="15"/>
      <c r="J179" s="77"/>
      <c r="K179" s="92"/>
    </row>
    <row r="180" spans="1:11" ht="13.2" x14ac:dyDescent="0.25">
      <c r="A180" s="14"/>
      <c r="B180" s="14"/>
      <c r="C180" s="14"/>
      <c r="D180" s="16"/>
      <c r="E180" s="16"/>
      <c r="F180" s="14"/>
      <c r="G180" s="14"/>
      <c r="H180" s="14"/>
      <c r="I180" s="15"/>
      <c r="J180" s="77"/>
      <c r="K180" s="92"/>
    </row>
    <row r="181" spans="1:11" ht="13.2" x14ac:dyDescent="0.25">
      <c r="A181" s="14"/>
      <c r="B181" s="14"/>
      <c r="C181" s="14"/>
      <c r="D181" s="16"/>
      <c r="E181" s="16"/>
      <c r="F181" s="14"/>
      <c r="G181" s="14"/>
      <c r="H181" s="14"/>
      <c r="I181" s="15"/>
      <c r="J181" s="77"/>
      <c r="K181" s="92"/>
    </row>
    <row r="182" spans="1:11" ht="13.2" x14ac:dyDescent="0.25">
      <c r="A182" s="14"/>
      <c r="B182" s="14"/>
      <c r="C182" s="14"/>
      <c r="D182" s="16"/>
      <c r="E182" s="16"/>
      <c r="F182" s="14"/>
      <c r="G182" s="14"/>
      <c r="H182" s="14"/>
      <c r="I182" s="15"/>
      <c r="J182" s="77"/>
      <c r="K182" s="92"/>
    </row>
    <row r="183" spans="1:11" ht="13.2" x14ac:dyDescent="0.25">
      <c r="A183" s="14"/>
      <c r="B183" s="14"/>
      <c r="C183" s="14"/>
      <c r="D183" s="16"/>
      <c r="E183" s="16"/>
      <c r="F183" s="14"/>
      <c r="G183" s="14"/>
      <c r="H183" s="14"/>
      <c r="I183" s="15"/>
      <c r="J183" s="77"/>
      <c r="K183" s="92"/>
    </row>
    <row r="184" spans="1:11" ht="13.2" x14ac:dyDescent="0.25">
      <c r="A184" s="14"/>
      <c r="B184" s="14"/>
      <c r="C184" s="14"/>
      <c r="D184" s="16"/>
      <c r="E184" s="16"/>
      <c r="F184" s="14"/>
      <c r="G184" s="14"/>
      <c r="H184" s="14"/>
      <c r="I184" s="15"/>
      <c r="J184" s="77"/>
      <c r="K184" s="92"/>
    </row>
    <row r="185" spans="1:11" ht="13.2" x14ac:dyDescent="0.25">
      <c r="A185" s="14"/>
      <c r="B185" s="14"/>
      <c r="C185" s="14"/>
      <c r="D185" s="16"/>
      <c r="E185" s="16"/>
      <c r="F185" s="14"/>
      <c r="G185" s="14"/>
      <c r="H185" s="14"/>
      <c r="I185" s="15"/>
      <c r="J185" s="77"/>
      <c r="K185" s="92"/>
    </row>
    <row r="186" spans="1:11" ht="13.2" x14ac:dyDescent="0.25">
      <c r="A186" s="14"/>
      <c r="B186" s="14"/>
      <c r="C186" s="14"/>
      <c r="D186" s="16"/>
      <c r="E186" s="16"/>
      <c r="F186" s="14"/>
      <c r="G186" s="14"/>
      <c r="H186" s="14"/>
      <c r="I186" s="15"/>
      <c r="J186" s="77"/>
      <c r="K186" s="92"/>
    </row>
    <row r="187" spans="1:11" ht="13.2" x14ac:dyDescent="0.25">
      <c r="A187" s="14"/>
      <c r="B187" s="14"/>
      <c r="C187" s="14"/>
      <c r="D187" s="16"/>
      <c r="E187" s="16"/>
      <c r="F187" s="14"/>
      <c r="G187" s="14"/>
      <c r="H187" s="14"/>
      <c r="I187" s="15"/>
      <c r="J187" s="77"/>
      <c r="K187" s="92"/>
    </row>
    <row r="188" spans="1:11" ht="13.2" x14ac:dyDescent="0.25">
      <c r="A188" s="14"/>
      <c r="B188" s="14"/>
      <c r="C188" s="14"/>
      <c r="D188" s="16"/>
      <c r="E188" s="16"/>
      <c r="F188" s="14"/>
      <c r="G188" s="14"/>
      <c r="H188" s="14"/>
      <c r="I188" s="15"/>
      <c r="J188" s="77"/>
      <c r="K188" s="92"/>
    </row>
    <row r="189" spans="1:11" ht="13.2" x14ac:dyDescent="0.25">
      <c r="A189" s="14"/>
      <c r="B189" s="14"/>
      <c r="C189" s="14"/>
      <c r="D189" s="16"/>
      <c r="E189" s="16"/>
      <c r="F189" s="14"/>
      <c r="G189" s="14"/>
      <c r="H189" s="14"/>
      <c r="I189" s="15"/>
      <c r="J189" s="77"/>
      <c r="K189" s="92"/>
    </row>
    <row r="190" spans="1:11" ht="13.2" x14ac:dyDescent="0.25">
      <c r="A190" s="14"/>
      <c r="B190" s="14"/>
      <c r="C190" s="14"/>
      <c r="D190" s="16"/>
      <c r="E190" s="16"/>
      <c r="F190" s="14"/>
      <c r="G190" s="14"/>
      <c r="H190" s="14"/>
      <c r="I190" s="15"/>
      <c r="J190" s="77"/>
      <c r="K190" s="92"/>
    </row>
    <row r="191" spans="1:11" ht="13.2" x14ac:dyDescent="0.25">
      <c r="A191" s="14"/>
      <c r="B191" s="14"/>
      <c r="C191" s="14"/>
      <c r="D191" s="16"/>
      <c r="E191" s="16"/>
      <c r="F191" s="14"/>
      <c r="G191" s="14"/>
      <c r="H191" s="14"/>
      <c r="I191" s="15"/>
      <c r="J191" s="77"/>
      <c r="K191" s="92"/>
    </row>
    <row r="192" spans="1:11" ht="13.2" x14ac:dyDescent="0.25">
      <c r="A192" s="14"/>
      <c r="B192" s="14"/>
      <c r="C192" s="14"/>
      <c r="D192" s="16"/>
      <c r="E192" s="16"/>
      <c r="F192" s="14"/>
      <c r="G192" s="14"/>
      <c r="H192" s="14"/>
      <c r="I192" s="15"/>
      <c r="J192" s="77"/>
      <c r="K192" s="92"/>
    </row>
    <row r="193" spans="1:11" ht="13.2" x14ac:dyDescent="0.25">
      <c r="A193" s="14"/>
      <c r="B193" s="14"/>
      <c r="C193" s="14"/>
      <c r="D193" s="16"/>
      <c r="E193" s="16"/>
      <c r="F193" s="14"/>
      <c r="G193" s="14"/>
      <c r="H193" s="14"/>
      <c r="I193" s="15"/>
      <c r="J193" s="77"/>
      <c r="K193" s="92"/>
    </row>
    <row r="194" spans="1:11" ht="13.2" x14ac:dyDescent="0.25">
      <c r="A194" s="14"/>
      <c r="B194" s="14"/>
      <c r="C194" s="14"/>
      <c r="D194" s="16"/>
      <c r="E194" s="16"/>
      <c r="F194" s="14"/>
      <c r="G194" s="14"/>
      <c r="H194" s="14"/>
      <c r="I194" s="15"/>
      <c r="J194" s="77"/>
      <c r="K194" s="92"/>
    </row>
    <row r="195" spans="1:11" ht="13.2" x14ac:dyDescent="0.25">
      <c r="A195" s="14"/>
      <c r="B195" s="14"/>
      <c r="C195" s="14"/>
      <c r="D195" s="16"/>
      <c r="E195" s="16"/>
      <c r="F195" s="14"/>
      <c r="G195" s="14"/>
      <c r="H195" s="14"/>
      <c r="I195" s="15"/>
      <c r="J195" s="77"/>
      <c r="K195" s="92"/>
    </row>
    <row r="196" spans="1:11" ht="13.2" x14ac:dyDescent="0.25">
      <c r="A196" s="14"/>
      <c r="B196" s="14"/>
      <c r="C196" s="14"/>
      <c r="D196" s="16"/>
      <c r="E196" s="16"/>
      <c r="F196" s="14"/>
      <c r="G196" s="14"/>
      <c r="H196" s="14"/>
      <c r="I196" s="15"/>
      <c r="J196" s="77"/>
      <c r="K196" s="92"/>
    </row>
    <row r="197" spans="1:11" ht="13.2" x14ac:dyDescent="0.25">
      <c r="A197" s="14"/>
      <c r="B197" s="14"/>
      <c r="C197" s="14"/>
      <c r="D197" s="16"/>
      <c r="E197" s="16"/>
      <c r="F197" s="14"/>
      <c r="G197" s="14"/>
      <c r="H197" s="14"/>
      <c r="I197" s="15"/>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6" t="e">
        <f>Spolu!C3&amp;", "&amp;Spolu!C6</f>
        <v>#REF!</v>
      </c>
      <c r="B1" s="366"/>
      <c r="C1" s="366"/>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7" t="s">
        <v>1671</v>
      </c>
      <c r="F3" s="368"/>
      <c r="N3" s="137" t="str">
        <f t="shared" si="0"/>
        <v>c - príspevok Slovenskému paralympijskému výboru</v>
      </c>
      <c r="O3" s="137" t="s">
        <v>379</v>
      </c>
      <c r="P3" s="137" t="s">
        <v>380</v>
      </c>
    </row>
    <row r="4" spans="1:16" ht="45.75" customHeight="1" x14ac:dyDescent="0.25">
      <c r="E4" s="368"/>
      <c r="F4" s="368"/>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3">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51118831</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5" t="s">
        <v>1699</v>
      </c>
      <c r="C22" s="365"/>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6" t="e">
        <f>Spolu!C3&amp;", "&amp;Spolu!C6</f>
        <v>#REF!</v>
      </c>
      <c r="B1" s="366"/>
      <c r="C1" s="366"/>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5">
      <c r="E4" s="368"/>
      <c r="F4" s="368"/>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71" t="s">
        <v>1707</v>
      </c>
      <c r="C14" s="372"/>
      <c r="F14" s="311"/>
      <c r="N14" s="137" t="str">
        <f t="shared" si="0"/>
        <v xml:space="preserve">n - </v>
      </c>
      <c r="O14" s="137" t="s">
        <v>401</v>
      </c>
    </row>
    <row r="15" spans="1:16" ht="34.35" customHeight="1" x14ac:dyDescent="0.25">
      <c r="A15" s="139" t="s">
        <v>1708</v>
      </c>
      <c r="B15" s="371"/>
      <c r="C15" s="372"/>
      <c r="F15" s="374"/>
      <c r="N15" s="137" t="str">
        <f t="shared" si="0"/>
        <v xml:space="preserve">o - </v>
      </c>
      <c r="O15" s="137" t="s">
        <v>402</v>
      </c>
    </row>
    <row r="16" spans="1:16" x14ac:dyDescent="0.25">
      <c r="A16" s="139" t="s">
        <v>1690</v>
      </c>
      <c r="B16" s="142">
        <f>F8</f>
        <v>0</v>
      </c>
      <c r="C16" s="137"/>
      <c r="F16" s="374"/>
      <c r="N16" s="137" t="str">
        <f t="shared" si="0"/>
        <v xml:space="preserve">p - </v>
      </c>
      <c r="O16" s="137" t="s">
        <v>403</v>
      </c>
    </row>
    <row r="17" spans="1:16" ht="32.1" customHeight="1" x14ac:dyDescent="0.25">
      <c r="A17" s="139" t="s">
        <v>1693</v>
      </c>
      <c r="B17" s="142">
        <f>F9</f>
        <v>0</v>
      </c>
      <c r="C17" s="137"/>
      <c r="F17" s="374"/>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51118831</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3" t="s">
        <v>1699</v>
      </c>
      <c r="C24" s="373"/>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5" t="s">
        <v>1714</v>
      </c>
      <c r="B2" s="375"/>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SRZ</cp:lastModifiedBy>
  <cp:revision/>
  <dcterms:created xsi:type="dcterms:W3CDTF">2017-02-20T06:20:12Z</dcterms:created>
  <dcterms:modified xsi:type="dcterms:W3CDTF">2025-04-08T06:39:09Z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